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6380" windowHeight="8130" tabRatio="786" firstSheet="13" activeTab="48"/>
  </bookViews>
  <sheets>
    <sheet name="Item1" sheetId="1" r:id="rId1"/>
    <sheet name="Item2" sheetId="2" r:id="rId2"/>
    <sheet name="Item3" sheetId="3" r:id="rId3"/>
    <sheet name="Item4" sheetId="4" r:id="rId4"/>
    <sheet name="Item5" sheetId="5" r:id="rId5"/>
    <sheet name="Item6" sheetId="6" r:id="rId6"/>
    <sheet name="Item7" sheetId="7" r:id="rId7"/>
    <sheet name="Item8" sheetId="8" r:id="rId8"/>
    <sheet name="Item9" sheetId="9" r:id="rId9"/>
    <sheet name="Item10" sheetId="10" r:id="rId10"/>
    <sheet name="Item11" sheetId="11" r:id="rId11"/>
    <sheet name="Item12" sheetId="12" r:id="rId12"/>
    <sheet name="Item13" sheetId="13" r:id="rId13"/>
    <sheet name="Item14" sheetId="14" r:id="rId14"/>
    <sheet name="Item15" sheetId="15" r:id="rId15"/>
    <sheet name="Item16" sheetId="16" r:id="rId16"/>
    <sheet name="Item17" sheetId="17" r:id="rId17"/>
    <sheet name="Item18" sheetId="18" r:id="rId18"/>
    <sheet name="Item19" sheetId="19" r:id="rId19"/>
    <sheet name="Item20" sheetId="52" r:id="rId20"/>
    <sheet name="Item21" sheetId="20" r:id="rId21"/>
    <sheet name="Item25" sheetId="25" state="hidden" r:id="rId22"/>
    <sheet name="Item26" sheetId="26" state="hidden" r:id="rId23"/>
    <sheet name="Item27" sheetId="27" state="hidden" r:id="rId24"/>
    <sheet name="Item28" sheetId="28" state="hidden" r:id="rId25"/>
    <sheet name="Item29" sheetId="29" state="hidden" r:id="rId26"/>
    <sheet name="Item30" sheetId="30" state="hidden" r:id="rId27"/>
    <sheet name="Item31" sheetId="31" state="hidden" r:id="rId28"/>
    <sheet name="Item32" sheetId="32" state="hidden" r:id="rId29"/>
    <sheet name="Item33" sheetId="33" state="hidden" r:id="rId30"/>
    <sheet name="Item34" sheetId="34" state="hidden" r:id="rId31"/>
    <sheet name="Item35" sheetId="35" state="hidden" r:id="rId32"/>
    <sheet name="Item36" sheetId="36" state="hidden" r:id="rId33"/>
    <sheet name="Item37" sheetId="37" state="hidden" r:id="rId34"/>
    <sheet name="Item38" sheetId="38" state="hidden" r:id="rId35"/>
    <sheet name="Item39" sheetId="39" state="hidden" r:id="rId36"/>
    <sheet name="Item40" sheetId="40" state="hidden" r:id="rId37"/>
    <sheet name="Item41" sheetId="41" state="hidden" r:id="rId38"/>
    <sheet name="Item42" sheetId="42" state="hidden" r:id="rId39"/>
    <sheet name="Item43" sheetId="43" state="hidden" r:id="rId40"/>
    <sheet name="Item44" sheetId="44" state="hidden" r:id="rId41"/>
    <sheet name="Item45" sheetId="45" state="hidden" r:id="rId42"/>
    <sheet name="Item46" sheetId="46" state="hidden" r:id="rId43"/>
    <sheet name="Item47" sheetId="47" state="hidden" r:id="rId44"/>
    <sheet name="Item48" sheetId="48" state="hidden" r:id="rId45"/>
    <sheet name="Item49" sheetId="49" state="hidden" r:id="rId46"/>
    <sheet name="Item50" sheetId="50" state="hidden" r:id="rId47"/>
    <sheet name="Item22" sheetId="53" r:id="rId48"/>
    <sheet name="TOTAL" sheetId="51" r:id="rId49"/>
  </sheets>
  <definedNames>
    <definedName name="_xlnm.Print_Area" localSheetId="48">TOTAL!$A$1:$H$32</definedName>
    <definedName name="Print_Area_0" localSheetId="48">TOTAL!$B$8:$G$32</definedName>
    <definedName name="_xlnm.Print_Titles" localSheetId="48">TOTAL!$1:$9</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30" i="51" l="1"/>
  <c r="E30" i="51"/>
  <c r="D30" i="51"/>
  <c r="C30" i="51"/>
  <c r="F29" i="51"/>
  <c r="E29" i="51"/>
  <c r="D29" i="51"/>
  <c r="C29" i="51"/>
  <c r="F31" i="51"/>
  <c r="G31" i="51" s="1"/>
  <c r="E31" i="51"/>
  <c r="D31" i="51"/>
  <c r="C31" i="51"/>
  <c r="D3" i="15"/>
  <c r="D3" i="53"/>
  <c r="H20" i="53"/>
  <c r="G20" i="53" s="1"/>
  <c r="F20" i="53"/>
  <c r="D20" i="53"/>
  <c r="B20" i="53"/>
  <c r="I17" i="53"/>
  <c r="I16" i="53"/>
  <c r="I15" i="53"/>
  <c r="I14" i="53"/>
  <c r="I13" i="53"/>
  <c r="I12" i="53"/>
  <c r="I11" i="53"/>
  <c r="I10" i="53"/>
  <c r="I9" i="53"/>
  <c r="I8" i="53"/>
  <c r="I7" i="53"/>
  <c r="F3" i="53"/>
  <c r="D3" i="2"/>
  <c r="D3" i="52"/>
  <c r="H20" i="52"/>
  <c r="G20" i="52" s="1"/>
  <c r="F20" i="52"/>
  <c r="D20" i="52"/>
  <c r="B20" i="52"/>
  <c r="I17" i="52"/>
  <c r="I16" i="52"/>
  <c r="I15" i="52"/>
  <c r="I14" i="52"/>
  <c r="I13" i="52"/>
  <c r="I12" i="52"/>
  <c r="I11" i="52"/>
  <c r="I10" i="52"/>
  <c r="I9" i="52"/>
  <c r="I8" i="52"/>
  <c r="I7" i="52"/>
  <c r="I6" i="52"/>
  <c r="F3" i="52"/>
  <c r="G30" i="51" l="1"/>
  <c r="A20" i="53"/>
  <c r="C20" i="53" s="1"/>
  <c r="A20" i="52"/>
  <c r="C20" i="52" s="1"/>
  <c r="D3" i="20"/>
  <c r="I6" i="53" l="1"/>
  <c r="I5" i="53"/>
  <c r="I4" i="53"/>
  <c r="I3" i="53"/>
  <c r="E20" i="53"/>
  <c r="H22" i="53" s="1"/>
  <c r="H23" i="53" s="1"/>
  <c r="I3" i="52"/>
  <c r="I5" i="52"/>
  <c r="I4" i="52"/>
  <c r="E20" i="52"/>
  <c r="H22" i="52" s="1"/>
  <c r="H23" i="52" s="1"/>
  <c r="D28" i="51"/>
  <c r="C28" i="51"/>
  <c r="E27" i="51"/>
  <c r="D27" i="51"/>
  <c r="C27" i="51"/>
  <c r="E26" i="51"/>
  <c r="D26" i="51"/>
  <c r="C26" i="51"/>
  <c r="D25" i="51"/>
  <c r="C25" i="51"/>
  <c r="E24" i="51"/>
  <c r="D24" i="51"/>
  <c r="C24" i="51"/>
  <c r="E23" i="51"/>
  <c r="D23" i="51"/>
  <c r="C23" i="51"/>
  <c r="E22" i="51"/>
  <c r="D22" i="51"/>
  <c r="C22" i="51"/>
  <c r="E21" i="51"/>
  <c r="D21" i="51"/>
  <c r="C21" i="51"/>
  <c r="D20" i="51"/>
  <c r="C20" i="51"/>
  <c r="E19" i="51"/>
  <c r="D19" i="51"/>
  <c r="C19" i="51"/>
  <c r="E18" i="51"/>
  <c r="D18" i="51"/>
  <c r="C18" i="51"/>
  <c r="E17" i="51"/>
  <c r="D17" i="51"/>
  <c r="C17" i="51"/>
  <c r="D16" i="51"/>
  <c r="C16" i="51"/>
  <c r="D15" i="51"/>
  <c r="C15" i="51"/>
  <c r="D14" i="51"/>
  <c r="C14" i="51"/>
  <c r="E13" i="51"/>
  <c r="D13" i="51"/>
  <c r="C13" i="51"/>
  <c r="E12" i="51"/>
  <c r="D12" i="51"/>
  <c r="C12" i="51"/>
  <c r="E11" i="51"/>
  <c r="D11" i="51"/>
  <c r="C11" i="51"/>
  <c r="D10" i="51"/>
  <c r="C10" i="51"/>
  <c r="H20" i="50"/>
  <c r="G20" i="50" s="1"/>
  <c r="F20" i="50"/>
  <c r="D20" i="50"/>
  <c r="B20" i="50"/>
  <c r="I17" i="50"/>
  <c r="I16" i="50"/>
  <c r="I15" i="50"/>
  <c r="I14" i="50"/>
  <c r="I13" i="50"/>
  <c r="I12" i="50"/>
  <c r="I11" i="50"/>
  <c r="I10" i="50"/>
  <c r="I9" i="50"/>
  <c r="I8" i="50"/>
  <c r="I7" i="50"/>
  <c r="I6" i="50"/>
  <c r="F3" i="50"/>
  <c r="H20" i="49"/>
  <c r="G20" i="49"/>
  <c r="F20" i="49"/>
  <c r="D20" i="49"/>
  <c r="B20" i="49"/>
  <c r="A20" i="49"/>
  <c r="I17" i="49"/>
  <c r="I16" i="49"/>
  <c r="I15" i="49"/>
  <c r="I14" i="49"/>
  <c r="I13" i="49"/>
  <c r="I12" i="49"/>
  <c r="I11" i="49"/>
  <c r="I10" i="49"/>
  <c r="I9" i="49"/>
  <c r="I8" i="49"/>
  <c r="I7" i="49"/>
  <c r="I6" i="49"/>
  <c r="F3" i="49"/>
  <c r="H20" i="48"/>
  <c r="G20" i="48" s="1"/>
  <c r="F20" i="48"/>
  <c r="D20" i="48"/>
  <c r="B20" i="48"/>
  <c r="A20" i="48"/>
  <c r="I17" i="48"/>
  <c r="I16" i="48"/>
  <c r="I15" i="48"/>
  <c r="I14" i="48"/>
  <c r="I13" i="48"/>
  <c r="I12" i="48"/>
  <c r="I11" i="48"/>
  <c r="I10" i="48"/>
  <c r="I9" i="48"/>
  <c r="I8" i="48"/>
  <c r="I7" i="48"/>
  <c r="I6" i="48"/>
  <c r="F3" i="48"/>
  <c r="H20" i="47"/>
  <c r="G20" i="47"/>
  <c r="F20" i="47"/>
  <c r="D20" i="47"/>
  <c r="C20" i="47"/>
  <c r="B20" i="47"/>
  <c r="A20" i="47"/>
  <c r="I17" i="47"/>
  <c r="I16" i="47"/>
  <c r="I15" i="47"/>
  <c r="I14" i="47"/>
  <c r="I13" i="47"/>
  <c r="I12" i="47"/>
  <c r="I11" i="47"/>
  <c r="I10" i="47"/>
  <c r="I9" i="47"/>
  <c r="I8" i="47"/>
  <c r="I7" i="47"/>
  <c r="I6" i="47"/>
  <c r="I4" i="47"/>
  <c r="F3" i="47"/>
  <c r="H20" i="46"/>
  <c r="G20" i="46"/>
  <c r="F20" i="46"/>
  <c r="D20" i="46"/>
  <c r="B20" i="46"/>
  <c r="I17" i="46"/>
  <c r="I16" i="46"/>
  <c r="I15" i="46"/>
  <c r="I14" i="46"/>
  <c r="I13" i="46"/>
  <c r="I12" i="46"/>
  <c r="I11" i="46"/>
  <c r="I10" i="46"/>
  <c r="I9" i="46"/>
  <c r="I8" i="46"/>
  <c r="I7" i="46"/>
  <c r="I6" i="46"/>
  <c r="F3" i="46"/>
  <c r="H20" i="45"/>
  <c r="G20" i="45"/>
  <c r="F20" i="45"/>
  <c r="D20" i="45"/>
  <c r="B20" i="45"/>
  <c r="A20" i="45" s="1"/>
  <c r="I17" i="45"/>
  <c r="I16" i="45"/>
  <c r="I15" i="45"/>
  <c r="I14" i="45"/>
  <c r="I13" i="45"/>
  <c r="I12" i="45"/>
  <c r="I11" i="45"/>
  <c r="I10" i="45"/>
  <c r="I9" i="45"/>
  <c r="I8" i="45"/>
  <c r="I7" i="45"/>
  <c r="I6" i="45"/>
  <c r="F3" i="45"/>
  <c r="H20" i="44"/>
  <c r="G20" i="44" s="1"/>
  <c r="F20" i="44"/>
  <c r="D20" i="44"/>
  <c r="B20" i="44"/>
  <c r="A20" i="44"/>
  <c r="I17" i="44"/>
  <c r="I16" i="44"/>
  <c r="I15" i="44"/>
  <c r="I14" i="44"/>
  <c r="I13" i="44"/>
  <c r="I12" i="44"/>
  <c r="I11" i="44"/>
  <c r="I10" i="44"/>
  <c r="I9" i="44"/>
  <c r="I8" i="44"/>
  <c r="I7" i="44"/>
  <c r="I6" i="44"/>
  <c r="F3" i="44"/>
  <c r="H20" i="43"/>
  <c r="G20" i="43" s="1"/>
  <c r="F20" i="43"/>
  <c r="D20" i="43"/>
  <c r="C20" i="43" s="1"/>
  <c r="B20" i="43"/>
  <c r="A20" i="43"/>
  <c r="I17" i="43"/>
  <c r="I16" i="43"/>
  <c r="I15" i="43"/>
  <c r="I14" i="43"/>
  <c r="I13" i="43"/>
  <c r="I12" i="43"/>
  <c r="I11" i="43"/>
  <c r="I10" i="43"/>
  <c r="I9" i="43"/>
  <c r="I8" i="43"/>
  <c r="I7" i="43"/>
  <c r="I6" i="43"/>
  <c r="F3" i="43"/>
  <c r="H20" i="42"/>
  <c r="G20" i="42"/>
  <c r="F20" i="42"/>
  <c r="D20" i="42"/>
  <c r="B20" i="42"/>
  <c r="I17" i="42"/>
  <c r="I16" i="42"/>
  <c r="I15" i="42"/>
  <c r="I14" i="42"/>
  <c r="I13" i="42"/>
  <c r="I12" i="42"/>
  <c r="I11" i="42"/>
  <c r="I10" i="42"/>
  <c r="I9" i="42"/>
  <c r="I8" i="42"/>
  <c r="I7" i="42"/>
  <c r="I6" i="42"/>
  <c r="F3" i="42"/>
  <c r="H20" i="41"/>
  <c r="G20" i="41"/>
  <c r="F20" i="41"/>
  <c r="D20" i="41"/>
  <c r="B20" i="41"/>
  <c r="I17" i="41"/>
  <c r="I16" i="41"/>
  <c r="I15" i="41"/>
  <c r="I14" i="41"/>
  <c r="I13" i="41"/>
  <c r="I12" i="41"/>
  <c r="I11" i="41"/>
  <c r="I10" i="41"/>
  <c r="I9" i="41"/>
  <c r="I8" i="41"/>
  <c r="I7" i="41"/>
  <c r="I6" i="41"/>
  <c r="F3" i="41"/>
  <c r="H20" i="40"/>
  <c r="G20" i="40" s="1"/>
  <c r="F20" i="40"/>
  <c r="D20" i="40"/>
  <c r="B20" i="40"/>
  <c r="A20" i="40"/>
  <c r="I17" i="40"/>
  <c r="I16" i="40"/>
  <c r="I15" i="40"/>
  <c r="I14" i="40"/>
  <c r="I13" i="40"/>
  <c r="I12" i="40"/>
  <c r="I11" i="40"/>
  <c r="I10" i="40"/>
  <c r="I9" i="40"/>
  <c r="I8" i="40"/>
  <c r="I7" i="40"/>
  <c r="I6" i="40"/>
  <c r="F3" i="40"/>
  <c r="H20" i="39"/>
  <c r="G20" i="39" s="1"/>
  <c r="F20" i="39"/>
  <c r="D20" i="39"/>
  <c r="C20" i="39"/>
  <c r="B20" i="39"/>
  <c r="A20" i="39"/>
  <c r="I17" i="39"/>
  <c r="I16" i="39"/>
  <c r="I15" i="39"/>
  <c r="I14" i="39"/>
  <c r="I13" i="39"/>
  <c r="I12" i="39"/>
  <c r="I11" i="39"/>
  <c r="I10" i="39"/>
  <c r="I9" i="39"/>
  <c r="I8" i="39"/>
  <c r="I7" i="39"/>
  <c r="I6" i="39"/>
  <c r="I5" i="39"/>
  <c r="I4" i="39"/>
  <c r="F3" i="39"/>
  <c r="H20" i="38"/>
  <c r="G20" i="38"/>
  <c r="F20" i="38"/>
  <c r="D20" i="38"/>
  <c r="B20" i="38"/>
  <c r="I17" i="38"/>
  <c r="I16" i="38"/>
  <c r="I15" i="38"/>
  <c r="I14" i="38"/>
  <c r="I13" i="38"/>
  <c r="I12" i="38"/>
  <c r="I11" i="38"/>
  <c r="I10" i="38"/>
  <c r="I9" i="38"/>
  <c r="I8" i="38"/>
  <c r="I7" i="38"/>
  <c r="I6" i="38"/>
  <c r="F3" i="38"/>
  <c r="H20" i="37"/>
  <c r="G20" i="37"/>
  <c r="F20" i="37"/>
  <c r="D20" i="37"/>
  <c r="B20" i="37"/>
  <c r="A20" i="37" s="1"/>
  <c r="I17" i="37"/>
  <c r="I16" i="37"/>
  <c r="I15" i="37"/>
  <c r="I14" i="37"/>
  <c r="I13" i="37"/>
  <c r="I12" i="37"/>
  <c r="I11" i="37"/>
  <c r="I10" i="37"/>
  <c r="I9" i="37"/>
  <c r="I8" i="37"/>
  <c r="I7" i="37"/>
  <c r="I6" i="37"/>
  <c r="F3" i="37"/>
  <c r="H20" i="36"/>
  <c r="G20" i="36" s="1"/>
  <c r="F20" i="36"/>
  <c r="D20" i="36"/>
  <c r="B20" i="36"/>
  <c r="A20" i="36"/>
  <c r="I17" i="36"/>
  <c r="I16" i="36"/>
  <c r="I15" i="36"/>
  <c r="I14" i="36"/>
  <c r="I13" i="36"/>
  <c r="I12" i="36"/>
  <c r="I11" i="36"/>
  <c r="I10" i="36"/>
  <c r="I9" i="36"/>
  <c r="I8" i="36"/>
  <c r="I7" i="36"/>
  <c r="I6" i="36"/>
  <c r="F3" i="36"/>
  <c r="H20" i="35"/>
  <c r="G20" i="35"/>
  <c r="F20" i="35"/>
  <c r="D20" i="35"/>
  <c r="C20" i="35" s="1"/>
  <c r="B20" i="35"/>
  <c r="A20" i="35"/>
  <c r="I17" i="35"/>
  <c r="I16" i="35"/>
  <c r="I15" i="35"/>
  <c r="I14" i="35"/>
  <c r="I13" i="35"/>
  <c r="I12" i="35"/>
  <c r="I11" i="35"/>
  <c r="I10" i="35"/>
  <c r="I9" i="35"/>
  <c r="I8" i="35"/>
  <c r="I7" i="35"/>
  <c r="I6" i="35"/>
  <c r="F3" i="35"/>
  <c r="H20" i="34"/>
  <c r="G20" i="34"/>
  <c r="F20" i="34"/>
  <c r="D20" i="34"/>
  <c r="B20" i="34"/>
  <c r="I17" i="34"/>
  <c r="I16" i="34"/>
  <c r="I15" i="34"/>
  <c r="I14" i="34"/>
  <c r="I13" i="34"/>
  <c r="I12" i="34"/>
  <c r="I11" i="34"/>
  <c r="I10" i="34"/>
  <c r="I9" i="34"/>
  <c r="I8" i="34"/>
  <c r="I7" i="34"/>
  <c r="I6" i="34"/>
  <c r="F3" i="34"/>
  <c r="H20" i="33"/>
  <c r="G20" i="33"/>
  <c r="F20" i="33"/>
  <c r="D20" i="33"/>
  <c r="B20" i="33"/>
  <c r="A20" i="33"/>
  <c r="I17" i="33"/>
  <c r="I16" i="33"/>
  <c r="I15" i="33"/>
  <c r="I14" i="33"/>
  <c r="I13" i="33"/>
  <c r="I12" i="33"/>
  <c r="I11" i="33"/>
  <c r="I10" i="33"/>
  <c r="I9" i="33"/>
  <c r="I8" i="33"/>
  <c r="I7" i="33"/>
  <c r="I6" i="33"/>
  <c r="F3" i="33"/>
  <c r="H20" i="32"/>
  <c r="G20" i="32" s="1"/>
  <c r="F20" i="32"/>
  <c r="D20" i="32"/>
  <c r="B20" i="32"/>
  <c r="C20" i="32" s="1"/>
  <c r="A20" i="32"/>
  <c r="I17" i="32"/>
  <c r="I16" i="32"/>
  <c r="I15" i="32"/>
  <c r="I14" i="32"/>
  <c r="I13" i="32"/>
  <c r="I12" i="32"/>
  <c r="I11" i="32"/>
  <c r="I10" i="32"/>
  <c r="I9" i="32"/>
  <c r="I8" i="32"/>
  <c r="I7" i="32"/>
  <c r="I6" i="32"/>
  <c r="F3" i="32"/>
  <c r="H20" i="31"/>
  <c r="G20" i="31" s="1"/>
  <c r="F20" i="31"/>
  <c r="D20" i="31"/>
  <c r="C20" i="31" s="1"/>
  <c r="B20" i="31"/>
  <c r="A20" i="31"/>
  <c r="I17" i="31"/>
  <c r="I16" i="31"/>
  <c r="I15" i="31"/>
  <c r="I14" i="31"/>
  <c r="I13" i="31"/>
  <c r="I12" i="31"/>
  <c r="I11" i="31"/>
  <c r="I10" i="31"/>
  <c r="I9" i="31"/>
  <c r="I8" i="31"/>
  <c r="I7" i="31"/>
  <c r="I6" i="31"/>
  <c r="F3" i="31"/>
  <c r="H20" i="30"/>
  <c r="G20" i="30"/>
  <c r="F20" i="30"/>
  <c r="D20" i="30"/>
  <c r="B20" i="30"/>
  <c r="I17" i="30"/>
  <c r="I16" i="30"/>
  <c r="I15" i="30"/>
  <c r="I14" i="30"/>
  <c r="I13" i="30"/>
  <c r="I12" i="30"/>
  <c r="I11" i="30"/>
  <c r="I10" i="30"/>
  <c r="I9" i="30"/>
  <c r="I8" i="30"/>
  <c r="I7" i="30"/>
  <c r="I6" i="30"/>
  <c r="F3" i="30"/>
  <c r="H20" i="29"/>
  <c r="G20" i="29"/>
  <c r="F20" i="29"/>
  <c r="D20" i="29"/>
  <c r="B20" i="29"/>
  <c r="A20" i="29" s="1"/>
  <c r="I17" i="29"/>
  <c r="I16" i="29"/>
  <c r="I15" i="29"/>
  <c r="I14" i="29"/>
  <c r="I13" i="29"/>
  <c r="I12" i="29"/>
  <c r="I11" i="29"/>
  <c r="I10" i="29"/>
  <c r="I9" i="29"/>
  <c r="I8" i="29"/>
  <c r="I7" i="29"/>
  <c r="I6" i="29"/>
  <c r="F3" i="29"/>
  <c r="H20" i="28"/>
  <c r="G20" i="28" s="1"/>
  <c r="F20" i="28"/>
  <c r="D20" i="28"/>
  <c r="B20" i="28"/>
  <c r="A20" i="28"/>
  <c r="I17" i="28"/>
  <c r="I16" i="28"/>
  <c r="I15" i="28"/>
  <c r="I14" i="28"/>
  <c r="I13" i="28"/>
  <c r="I12" i="28"/>
  <c r="I11" i="28"/>
  <c r="I10" i="28"/>
  <c r="I9" i="28"/>
  <c r="I8" i="28"/>
  <c r="I7" i="28"/>
  <c r="I6" i="28"/>
  <c r="F3" i="28"/>
  <c r="H20" i="27"/>
  <c r="G20" i="27"/>
  <c r="F20" i="27"/>
  <c r="D20" i="27"/>
  <c r="C20" i="27" s="1"/>
  <c r="B20" i="27"/>
  <c r="A20" i="27"/>
  <c r="I17" i="27"/>
  <c r="I16" i="27"/>
  <c r="I15" i="27"/>
  <c r="I14" i="27"/>
  <c r="I13" i="27"/>
  <c r="I12" i="27"/>
  <c r="I11" i="27"/>
  <c r="I10" i="27"/>
  <c r="I9" i="27"/>
  <c r="I8" i="27"/>
  <c r="I7" i="27"/>
  <c r="I6" i="27"/>
  <c r="F3" i="27"/>
  <c r="H20" i="26"/>
  <c r="G20" i="26"/>
  <c r="F20" i="26"/>
  <c r="D20" i="26"/>
  <c r="B20" i="26"/>
  <c r="I17" i="26"/>
  <c r="I16" i="26"/>
  <c r="I15" i="26"/>
  <c r="I14" i="26"/>
  <c r="I13" i="26"/>
  <c r="I12" i="26"/>
  <c r="I11" i="26"/>
  <c r="I10" i="26"/>
  <c r="I9" i="26"/>
  <c r="I8" i="26"/>
  <c r="I7" i="26"/>
  <c r="I6" i="26"/>
  <c r="F3" i="26"/>
  <c r="H20" i="25"/>
  <c r="G20" i="25"/>
  <c r="F20" i="25"/>
  <c r="D20" i="25"/>
  <c r="B20" i="25"/>
  <c r="A20" i="25"/>
  <c r="I17" i="25"/>
  <c r="I16" i="25"/>
  <c r="I15" i="25"/>
  <c r="I14" i="25"/>
  <c r="I13" i="25"/>
  <c r="I12" i="25"/>
  <c r="I11" i="25"/>
  <c r="I10" i="25"/>
  <c r="I9" i="25"/>
  <c r="I8" i="25"/>
  <c r="I7" i="25"/>
  <c r="I6" i="25"/>
  <c r="F3" i="25"/>
  <c r="H20" i="20"/>
  <c r="G20" i="20" s="1"/>
  <c r="F20" i="20"/>
  <c r="D20" i="20"/>
  <c r="B20" i="20"/>
  <c r="A20" i="20" s="1"/>
  <c r="C20" i="20" s="1"/>
  <c r="I17" i="20"/>
  <c r="I16" i="20"/>
  <c r="I15" i="20"/>
  <c r="I14" i="20"/>
  <c r="I13" i="20"/>
  <c r="I12" i="20"/>
  <c r="I11" i="20"/>
  <c r="F3" i="20"/>
  <c r="H20" i="19"/>
  <c r="G20" i="19" s="1"/>
  <c r="F20" i="19"/>
  <c r="D20" i="19"/>
  <c r="B20" i="19"/>
  <c r="I17" i="19"/>
  <c r="I16" i="19"/>
  <c r="I15" i="19"/>
  <c r="I14" i="19"/>
  <c r="I13" i="19"/>
  <c r="I12" i="19"/>
  <c r="I11" i="19"/>
  <c r="I10" i="19"/>
  <c r="I9" i="19"/>
  <c r="F3" i="19"/>
  <c r="E28" i="51"/>
  <c r="H20" i="18"/>
  <c r="G20" i="18" s="1"/>
  <c r="F20" i="18"/>
  <c r="D20" i="18"/>
  <c r="B20" i="18"/>
  <c r="A20" i="18" s="1"/>
  <c r="I17" i="18"/>
  <c r="I16" i="18"/>
  <c r="I15" i="18"/>
  <c r="I14" i="18"/>
  <c r="I12" i="18"/>
  <c r="F3" i="18"/>
  <c r="H20" i="17"/>
  <c r="G20" i="17" s="1"/>
  <c r="F20" i="17"/>
  <c r="D20" i="17"/>
  <c r="B20" i="17"/>
  <c r="I17" i="17"/>
  <c r="I16" i="17"/>
  <c r="I15" i="17"/>
  <c r="I14" i="17"/>
  <c r="I13" i="17"/>
  <c r="I12" i="17"/>
  <c r="I11" i="17"/>
  <c r="I10" i="17"/>
  <c r="I9" i="17"/>
  <c r="I8" i="17"/>
  <c r="I7" i="17"/>
  <c r="F3" i="17"/>
  <c r="H20" i="16"/>
  <c r="G20" i="16" s="1"/>
  <c r="F20" i="16"/>
  <c r="D20" i="16"/>
  <c r="B20" i="16"/>
  <c r="I17" i="16"/>
  <c r="I16" i="16"/>
  <c r="I15" i="16"/>
  <c r="I14" i="16"/>
  <c r="I13" i="16"/>
  <c r="I12" i="16"/>
  <c r="I11" i="16"/>
  <c r="I10" i="16"/>
  <c r="I9" i="16"/>
  <c r="I8" i="16"/>
  <c r="I7" i="16"/>
  <c r="F3" i="16"/>
  <c r="E25" i="51"/>
  <c r="H20" i="15"/>
  <c r="G20" i="15" s="1"/>
  <c r="F20" i="15"/>
  <c r="D20" i="15"/>
  <c r="B20" i="15"/>
  <c r="A20" i="15" s="1"/>
  <c r="I17" i="15"/>
  <c r="I16" i="15"/>
  <c r="I15" i="15"/>
  <c r="I14" i="15"/>
  <c r="I13" i="15"/>
  <c r="I12" i="15"/>
  <c r="I11" i="15"/>
  <c r="I10" i="15"/>
  <c r="I9" i="15"/>
  <c r="I8" i="15"/>
  <c r="I7" i="15"/>
  <c r="F3" i="15"/>
  <c r="H20" i="14"/>
  <c r="G20" i="14" s="1"/>
  <c r="F20" i="14"/>
  <c r="D20" i="14"/>
  <c r="B20" i="14"/>
  <c r="I17" i="14"/>
  <c r="I16" i="14"/>
  <c r="I15" i="14"/>
  <c r="I14" i="14"/>
  <c r="I13" i="14"/>
  <c r="F3" i="14"/>
  <c r="H20" i="13"/>
  <c r="G20" i="13" s="1"/>
  <c r="F20" i="13"/>
  <c r="D20" i="13"/>
  <c r="B20" i="13"/>
  <c r="A20" i="13" s="1"/>
  <c r="I17" i="13"/>
  <c r="I16" i="13"/>
  <c r="I15" i="13"/>
  <c r="I14" i="13"/>
  <c r="I13" i="13"/>
  <c r="I12" i="13"/>
  <c r="I11" i="13"/>
  <c r="I10" i="13"/>
  <c r="I9" i="13"/>
  <c r="I8" i="13"/>
  <c r="F3" i="13"/>
  <c r="H20" i="12"/>
  <c r="G20" i="12" s="1"/>
  <c r="F20" i="12"/>
  <c r="D20" i="12"/>
  <c r="B20" i="12"/>
  <c r="I17" i="12"/>
  <c r="I16" i="12"/>
  <c r="I15" i="12"/>
  <c r="I14" i="12"/>
  <c r="I13" i="12"/>
  <c r="I12" i="12"/>
  <c r="I11" i="12"/>
  <c r="I10" i="12"/>
  <c r="I9" i="12"/>
  <c r="F3" i="12"/>
  <c r="H20" i="11"/>
  <c r="G20" i="11" s="1"/>
  <c r="F20" i="11"/>
  <c r="D20" i="11"/>
  <c r="B20" i="11"/>
  <c r="I17" i="11"/>
  <c r="I16" i="11"/>
  <c r="I15" i="11"/>
  <c r="I14" i="11"/>
  <c r="I13" i="11"/>
  <c r="I12" i="11"/>
  <c r="I11" i="11"/>
  <c r="I10" i="11"/>
  <c r="I9" i="11"/>
  <c r="I8" i="11"/>
  <c r="I7" i="11"/>
  <c r="I6" i="11"/>
  <c r="F3" i="11"/>
  <c r="E20" i="51"/>
  <c r="H20" i="10"/>
  <c r="G20" i="10" s="1"/>
  <c r="F20" i="10"/>
  <c r="D20" i="10"/>
  <c r="B20" i="10"/>
  <c r="A20" i="10" s="1"/>
  <c r="I17" i="10"/>
  <c r="I16" i="10"/>
  <c r="I15" i="10"/>
  <c r="I14" i="10"/>
  <c r="I13" i="10"/>
  <c r="I12" i="10"/>
  <c r="I11" i="10"/>
  <c r="I10" i="10"/>
  <c r="I9" i="10"/>
  <c r="I8" i="10"/>
  <c r="I7" i="10"/>
  <c r="F3" i="10"/>
  <c r="H20" i="9"/>
  <c r="G20" i="9" s="1"/>
  <c r="F20" i="9"/>
  <c r="D20" i="9"/>
  <c r="B20" i="9"/>
  <c r="I17" i="9"/>
  <c r="I16" i="9"/>
  <c r="I15" i="9"/>
  <c r="I14" i="9"/>
  <c r="I13" i="9"/>
  <c r="I12" i="9"/>
  <c r="F3" i="9"/>
  <c r="H20" i="8"/>
  <c r="G20" i="8" s="1"/>
  <c r="F20" i="8"/>
  <c r="D20" i="8"/>
  <c r="B20" i="8"/>
  <c r="A20" i="8" s="1"/>
  <c r="I17" i="8"/>
  <c r="I16" i="8"/>
  <c r="I15" i="8"/>
  <c r="I14" i="8"/>
  <c r="I13" i="8"/>
  <c r="I12" i="8"/>
  <c r="I11" i="8"/>
  <c r="I10" i="8"/>
  <c r="I9" i="8"/>
  <c r="I8" i="8"/>
  <c r="I7" i="8"/>
  <c r="F3" i="8"/>
  <c r="H20" i="7"/>
  <c r="G20" i="7" s="1"/>
  <c r="F20" i="7"/>
  <c r="D20" i="7"/>
  <c r="B20" i="7"/>
  <c r="I17" i="7"/>
  <c r="I16" i="7"/>
  <c r="I15" i="7"/>
  <c r="I14" i="7"/>
  <c r="I13" i="7"/>
  <c r="I12" i="7"/>
  <c r="I11" i="7"/>
  <c r="I10" i="7"/>
  <c r="I9" i="7"/>
  <c r="I8" i="7"/>
  <c r="I7" i="7"/>
  <c r="F3" i="7"/>
  <c r="E16" i="51"/>
  <c r="H20" i="6"/>
  <c r="G20" i="6" s="1"/>
  <c r="F20" i="6"/>
  <c r="D20" i="6"/>
  <c r="B20" i="6"/>
  <c r="I17" i="6"/>
  <c r="I16" i="6"/>
  <c r="I15" i="6"/>
  <c r="I14" i="6"/>
  <c r="I13" i="6"/>
  <c r="I12" i="6"/>
  <c r="I11" i="6"/>
  <c r="I10" i="6"/>
  <c r="F3" i="6"/>
  <c r="E15" i="51"/>
  <c r="H20" i="5"/>
  <c r="G20" i="5" s="1"/>
  <c r="F20" i="5"/>
  <c r="D20" i="5"/>
  <c r="B20" i="5"/>
  <c r="I17" i="5"/>
  <c r="I16" i="5"/>
  <c r="I15" i="5"/>
  <c r="I14" i="5"/>
  <c r="I13" i="5"/>
  <c r="I12" i="5"/>
  <c r="I11" i="5"/>
  <c r="F3" i="5"/>
  <c r="E14" i="51"/>
  <c r="H20" i="4"/>
  <c r="G20" i="4" s="1"/>
  <c r="F20" i="4"/>
  <c r="D20" i="4"/>
  <c r="B20" i="4"/>
  <c r="A20" i="4" s="1"/>
  <c r="I17" i="4"/>
  <c r="I16" i="4"/>
  <c r="I15" i="4"/>
  <c r="I14" i="4"/>
  <c r="I13" i="4"/>
  <c r="I12" i="4"/>
  <c r="I11" i="4"/>
  <c r="I10" i="4"/>
  <c r="I9" i="4"/>
  <c r="I8" i="4"/>
  <c r="F3" i="4"/>
  <c r="H20" i="3"/>
  <c r="G20" i="3" s="1"/>
  <c r="F20" i="3"/>
  <c r="D20" i="3"/>
  <c r="B20" i="3"/>
  <c r="I17" i="3"/>
  <c r="I16" i="3"/>
  <c r="I15" i="3"/>
  <c r="I14" i="3"/>
  <c r="I13" i="3"/>
  <c r="I12" i="3"/>
  <c r="I11" i="3"/>
  <c r="I10" i="3"/>
  <c r="F3" i="3"/>
  <c r="H20" i="2"/>
  <c r="G20" i="2" s="1"/>
  <c r="F20" i="2"/>
  <c r="D20" i="2"/>
  <c r="B20" i="2"/>
  <c r="I17" i="2"/>
  <c r="I16" i="2"/>
  <c r="I15" i="2"/>
  <c r="I14" i="2"/>
  <c r="I13" i="2"/>
  <c r="I12" i="2"/>
  <c r="I11" i="2"/>
  <c r="I10" i="2"/>
  <c r="I9" i="2"/>
  <c r="I8" i="2"/>
  <c r="F3" i="2"/>
  <c r="H20" i="1"/>
  <c r="G20" i="1" s="1"/>
  <c r="F20" i="1"/>
  <c r="D20" i="1"/>
  <c r="B20" i="1"/>
  <c r="F3" i="1"/>
  <c r="E10" i="51"/>
  <c r="E3" i="53" l="1"/>
  <c r="E3" i="52"/>
  <c r="A20" i="16"/>
  <c r="C20" i="16" s="1"/>
  <c r="C20" i="18"/>
  <c r="C20" i="15"/>
  <c r="I4" i="15" s="1"/>
  <c r="A20" i="11"/>
  <c r="C20" i="11" s="1"/>
  <c r="I5" i="11" s="1"/>
  <c r="C20" i="4"/>
  <c r="I7" i="4" s="1"/>
  <c r="C20" i="10"/>
  <c r="I3" i="10" s="1"/>
  <c r="A20" i="1"/>
  <c r="C20" i="1" s="1"/>
  <c r="A20" i="2"/>
  <c r="C20" i="8"/>
  <c r="C20" i="13"/>
  <c r="I6" i="13" s="1"/>
  <c r="A20" i="19"/>
  <c r="C20" i="19" s="1"/>
  <c r="I8" i="19" s="1"/>
  <c r="I9" i="20"/>
  <c r="I5" i="20"/>
  <c r="I7" i="20"/>
  <c r="I3" i="20"/>
  <c r="E20" i="20" s="1"/>
  <c r="I4" i="20"/>
  <c r="I10" i="20"/>
  <c r="I8" i="20"/>
  <c r="I6" i="20"/>
  <c r="I7" i="2"/>
  <c r="I6" i="2"/>
  <c r="A20" i="5"/>
  <c r="C20" i="5" s="1"/>
  <c r="A20" i="6"/>
  <c r="C20" i="6" s="1"/>
  <c r="I9" i="6" s="1"/>
  <c r="I4" i="10"/>
  <c r="I6" i="18"/>
  <c r="I3" i="35"/>
  <c r="E20" i="35" s="1"/>
  <c r="I5" i="35"/>
  <c r="I4" i="35"/>
  <c r="I3" i="43"/>
  <c r="E20" i="43"/>
  <c r="H22" i="43" s="1"/>
  <c r="H23" i="43" s="1"/>
  <c r="I5" i="43"/>
  <c r="I4" i="43"/>
  <c r="A20" i="3"/>
  <c r="C20" i="3" s="1"/>
  <c r="I9" i="3" s="1"/>
  <c r="A20" i="7"/>
  <c r="C20" i="7" s="1"/>
  <c r="I6" i="10"/>
  <c r="E20" i="10"/>
  <c r="E3" i="10" s="1"/>
  <c r="F19" i="51" s="1"/>
  <c r="G19" i="51" s="1"/>
  <c r="A20" i="14"/>
  <c r="C20" i="14" s="1"/>
  <c r="A20" i="17"/>
  <c r="C20" i="17" s="1"/>
  <c r="A20" i="12"/>
  <c r="C20" i="12" s="1"/>
  <c r="I8" i="12" s="1"/>
  <c r="I7" i="13"/>
  <c r="E20" i="13" s="1"/>
  <c r="I3" i="15"/>
  <c r="I5" i="15"/>
  <c r="I13" i="18"/>
  <c r="I9" i="18"/>
  <c r="I11" i="18"/>
  <c r="I7" i="18"/>
  <c r="I3" i="27"/>
  <c r="E20" i="27" s="1"/>
  <c r="I5" i="27"/>
  <c r="I4" i="27"/>
  <c r="A20" i="9"/>
  <c r="C20" i="9" s="1"/>
  <c r="I3" i="31"/>
  <c r="I5" i="31"/>
  <c r="E20" i="31" s="1"/>
  <c r="I4" i="31"/>
  <c r="C20" i="25"/>
  <c r="C20" i="33"/>
  <c r="I5" i="47"/>
  <c r="E20" i="47" s="1"/>
  <c r="I3" i="47"/>
  <c r="A20" i="50"/>
  <c r="C20" i="50" s="1"/>
  <c r="C20" i="28"/>
  <c r="A20" i="30"/>
  <c r="C20" i="30" s="1"/>
  <c r="I5" i="32"/>
  <c r="C20" i="36"/>
  <c r="A20" i="38"/>
  <c r="C20" i="38" s="1"/>
  <c r="C20" i="44"/>
  <c r="A20" i="46"/>
  <c r="C20" i="46" s="1"/>
  <c r="C20" i="48"/>
  <c r="C20" i="29"/>
  <c r="C20" i="37"/>
  <c r="I3" i="39"/>
  <c r="E20" i="39" s="1"/>
  <c r="C20" i="45"/>
  <c r="A20" i="26"/>
  <c r="C20" i="26" s="1"/>
  <c r="I4" i="32"/>
  <c r="I3" i="32"/>
  <c r="E20" i="32" s="1"/>
  <c r="A20" i="34"/>
  <c r="C20" i="34" s="1"/>
  <c r="C20" i="40"/>
  <c r="A20" i="41"/>
  <c r="C20" i="41" s="1"/>
  <c r="A20" i="42"/>
  <c r="C20" i="42" s="1"/>
  <c r="C20" i="49"/>
  <c r="C20" i="2" l="1"/>
  <c r="I5" i="2" s="1"/>
  <c r="I5" i="16"/>
  <c r="I6" i="16"/>
  <c r="I4" i="16"/>
  <c r="I3" i="16"/>
  <c r="E20" i="16" s="1"/>
  <c r="E3" i="16" s="1"/>
  <c r="F25" i="51" s="1"/>
  <c r="G25" i="51" s="1"/>
  <c r="I6" i="15"/>
  <c r="E20" i="15" s="1"/>
  <c r="E20" i="12"/>
  <c r="E3" i="12" s="1"/>
  <c r="F21" i="51" s="1"/>
  <c r="G21" i="51" s="1"/>
  <c r="I7" i="12"/>
  <c r="I5" i="18"/>
  <c r="I10" i="18"/>
  <c r="I8" i="18"/>
  <c r="I4" i="18"/>
  <c r="I3" i="18"/>
  <c r="I3" i="13"/>
  <c r="I4" i="13"/>
  <c r="I5" i="13"/>
  <c r="I5" i="19"/>
  <c r="I7" i="19"/>
  <c r="I6" i="19"/>
  <c r="I4" i="19"/>
  <c r="I3" i="19"/>
  <c r="E20" i="19"/>
  <c r="I3" i="11"/>
  <c r="I4" i="11"/>
  <c r="E20" i="11" s="1"/>
  <c r="E3" i="8"/>
  <c r="F17" i="51" s="1"/>
  <c r="G17" i="51" s="1"/>
  <c r="I6" i="8"/>
  <c r="I5" i="8"/>
  <c r="E20" i="8"/>
  <c r="I4" i="8"/>
  <c r="I3" i="8"/>
  <c r="I6" i="4"/>
  <c r="I5" i="4"/>
  <c r="I4" i="4"/>
  <c r="I3" i="4"/>
  <c r="I5" i="10"/>
  <c r="I16" i="1"/>
  <c r="I17" i="1"/>
  <c r="I14" i="1"/>
  <c r="I15" i="1"/>
  <c r="I12" i="1"/>
  <c r="I13" i="1"/>
  <c r="I10" i="1"/>
  <c r="I11" i="1"/>
  <c r="I8" i="1"/>
  <c r="I9" i="1"/>
  <c r="I3" i="1"/>
  <c r="I7" i="1"/>
  <c r="I6" i="1"/>
  <c r="I4" i="1"/>
  <c r="I5" i="1"/>
  <c r="H22" i="10"/>
  <c r="H23" i="10" s="1"/>
  <c r="H22" i="8"/>
  <c r="H23" i="8" s="1"/>
  <c r="E3" i="47"/>
  <c r="H22" i="47"/>
  <c r="H23" i="47" s="1"/>
  <c r="I5" i="34"/>
  <c r="I4" i="34"/>
  <c r="I3" i="34"/>
  <c r="E20" i="34" s="1"/>
  <c r="H22" i="31"/>
  <c r="H23" i="31" s="1"/>
  <c r="E3" i="31"/>
  <c r="I4" i="17"/>
  <c r="I6" i="17"/>
  <c r="I5" i="17"/>
  <c r="I3" i="17"/>
  <c r="I4" i="3"/>
  <c r="I7" i="3"/>
  <c r="I6" i="3"/>
  <c r="I8" i="3"/>
  <c r="I3" i="3"/>
  <c r="I5" i="3"/>
  <c r="I8" i="5"/>
  <c r="I4" i="5"/>
  <c r="I10" i="5"/>
  <c r="I6" i="5"/>
  <c r="I5" i="5"/>
  <c r="I3" i="5"/>
  <c r="I9" i="5"/>
  <c r="I7" i="5"/>
  <c r="E3" i="39"/>
  <c r="H22" i="39"/>
  <c r="H23" i="39" s="1"/>
  <c r="I4" i="50"/>
  <c r="I5" i="50"/>
  <c r="E20" i="50" s="1"/>
  <c r="I3" i="50"/>
  <c r="H22" i="27"/>
  <c r="H23" i="27" s="1"/>
  <c r="E3" i="27"/>
  <c r="I4" i="7"/>
  <c r="I6" i="7"/>
  <c r="I5" i="7"/>
  <c r="I3" i="7"/>
  <c r="E20" i="7"/>
  <c r="H22" i="7" s="1"/>
  <c r="H23" i="7" s="1"/>
  <c r="I5" i="41"/>
  <c r="I4" i="41"/>
  <c r="I3" i="41"/>
  <c r="E20" i="41" s="1"/>
  <c r="E3" i="13"/>
  <c r="F22" i="51" s="1"/>
  <c r="G22" i="51" s="1"/>
  <c r="H22" i="13"/>
  <c r="H23" i="13" s="1"/>
  <c r="E3" i="20"/>
  <c r="G29" i="51" s="1"/>
  <c r="G32" i="51" s="1"/>
  <c r="H22" i="20"/>
  <c r="H23" i="20" s="1"/>
  <c r="E3" i="35"/>
  <c r="H22" i="35"/>
  <c r="H23" i="35" s="1"/>
  <c r="I5" i="26"/>
  <c r="I4" i="26"/>
  <c r="I3" i="26"/>
  <c r="E20" i="26"/>
  <c r="H22" i="26" s="1"/>
  <c r="H23" i="26" s="1"/>
  <c r="H22" i="19"/>
  <c r="H23" i="19" s="1"/>
  <c r="E3" i="19"/>
  <c r="F28" i="51" s="1"/>
  <c r="G28" i="51" s="1"/>
  <c r="E3" i="32"/>
  <c r="H22" i="32"/>
  <c r="H23" i="32" s="1"/>
  <c r="I4" i="28"/>
  <c r="I3" i="28"/>
  <c r="E20" i="28"/>
  <c r="H22" i="28" s="1"/>
  <c r="H23" i="28" s="1"/>
  <c r="I5" i="28"/>
  <c r="I5" i="45"/>
  <c r="I4" i="45"/>
  <c r="I3" i="45"/>
  <c r="E20" i="45" s="1"/>
  <c r="H22" i="45" s="1"/>
  <c r="H23" i="45" s="1"/>
  <c r="I4" i="48"/>
  <c r="I3" i="48"/>
  <c r="E20" i="48" s="1"/>
  <c r="I5" i="48"/>
  <c r="I5" i="30"/>
  <c r="I3" i="30"/>
  <c r="I4" i="30"/>
  <c r="E20" i="30" s="1"/>
  <c r="I3" i="49"/>
  <c r="E20" i="49" s="1"/>
  <c r="I5" i="49"/>
  <c r="I4" i="49"/>
  <c r="I4" i="40"/>
  <c r="I3" i="40"/>
  <c r="E20" i="40" s="1"/>
  <c r="I5" i="40"/>
  <c r="I5" i="29"/>
  <c r="I4" i="29"/>
  <c r="I3" i="29"/>
  <c r="E20" i="29" s="1"/>
  <c r="H22" i="29" s="1"/>
  <c r="H23" i="29" s="1"/>
  <c r="I5" i="46"/>
  <c r="I3" i="46"/>
  <c r="E20" i="46" s="1"/>
  <c r="H22" i="46" s="1"/>
  <c r="H23" i="46" s="1"/>
  <c r="I4" i="46"/>
  <c r="I5" i="25"/>
  <c r="E3" i="25"/>
  <c r="I4" i="25"/>
  <c r="I3" i="25"/>
  <c r="E20" i="25" s="1"/>
  <c r="H22" i="25" s="1"/>
  <c r="H23" i="25" s="1"/>
  <c r="E3" i="43"/>
  <c r="I5" i="42"/>
  <c r="I4" i="42"/>
  <c r="E20" i="42" s="1"/>
  <c r="I3" i="42"/>
  <c r="I4" i="36"/>
  <c r="I3" i="36"/>
  <c r="E20" i="36"/>
  <c r="E3" i="36" s="1"/>
  <c r="I5" i="36"/>
  <c r="I10" i="14"/>
  <c r="I6" i="14"/>
  <c r="I12" i="14"/>
  <c r="I8" i="14"/>
  <c r="E20" i="14" s="1"/>
  <c r="I4" i="14"/>
  <c r="I11" i="14"/>
  <c r="I3" i="14"/>
  <c r="I9" i="14"/>
  <c r="I7" i="14"/>
  <c r="I5" i="14"/>
  <c r="I8" i="6"/>
  <c r="I4" i="6"/>
  <c r="I6" i="6"/>
  <c r="E20" i="6" s="1"/>
  <c r="I7" i="6"/>
  <c r="I5" i="6"/>
  <c r="I3" i="6"/>
  <c r="I5" i="33"/>
  <c r="E20" i="33" s="1"/>
  <c r="I4" i="33"/>
  <c r="I3" i="33"/>
  <c r="I4" i="12"/>
  <c r="I6" i="12"/>
  <c r="I5" i="12"/>
  <c r="I3" i="12"/>
  <c r="I10" i="9"/>
  <c r="I6" i="9"/>
  <c r="I8" i="9"/>
  <c r="I4" i="9"/>
  <c r="I3" i="9"/>
  <c r="I9" i="9"/>
  <c r="I7" i="9"/>
  <c r="I5" i="9"/>
  <c r="I11" i="9"/>
  <c r="I4" i="44"/>
  <c r="I3" i="44"/>
  <c r="E20" i="44" s="1"/>
  <c r="I5" i="44"/>
  <c r="I5" i="37"/>
  <c r="I4" i="37"/>
  <c r="I3" i="37"/>
  <c r="E20" i="37" s="1"/>
  <c r="I5" i="38"/>
  <c r="I3" i="38"/>
  <c r="E20" i="38" s="1"/>
  <c r="I4" i="38"/>
  <c r="I4" i="2" l="1"/>
  <c r="I3" i="2"/>
  <c r="E20" i="2" s="1"/>
  <c r="H22" i="16"/>
  <c r="H23" i="16" s="1"/>
  <c r="E3" i="15"/>
  <c r="F24" i="51" s="1"/>
  <c r="G24" i="51" s="1"/>
  <c r="H22" i="15"/>
  <c r="H23" i="15" s="1"/>
  <c r="H22" i="12"/>
  <c r="H23" i="12" s="1"/>
  <c r="E20" i="18"/>
  <c r="H22" i="18" s="1"/>
  <c r="H23" i="18" s="1"/>
  <c r="E20" i="17"/>
  <c r="H22" i="17" s="1"/>
  <c r="H23" i="17" s="1"/>
  <c r="H22" i="11"/>
  <c r="H23" i="11" s="1"/>
  <c r="E3" i="11"/>
  <c r="F20" i="51" s="1"/>
  <c r="G20" i="51" s="1"/>
  <c r="E20" i="4"/>
  <c r="H22" i="4" s="1"/>
  <c r="H23" i="4" s="1"/>
  <c r="E3" i="7"/>
  <c r="F16" i="51" s="1"/>
  <c r="G16" i="51" s="1"/>
  <c r="E20" i="5"/>
  <c r="E3" i="5" s="1"/>
  <c r="F14" i="51" s="1"/>
  <c r="G14" i="51" s="1"/>
  <c r="E20" i="3"/>
  <c r="E3" i="3" s="1"/>
  <c r="F12" i="51" s="1"/>
  <c r="G12" i="51" s="1"/>
  <c r="E20" i="9"/>
  <c r="E3" i="9" s="1"/>
  <c r="F18" i="51" s="1"/>
  <c r="G18" i="51" s="1"/>
  <c r="E20" i="1"/>
  <c r="E3" i="48"/>
  <c r="H22" i="48"/>
  <c r="H23" i="48" s="1"/>
  <c r="H22" i="42"/>
  <c r="H23" i="42" s="1"/>
  <c r="E3" i="42"/>
  <c r="E3" i="38"/>
  <c r="H22" i="38"/>
  <c r="H23" i="38" s="1"/>
  <c r="E3" i="33"/>
  <c r="H22" i="33"/>
  <c r="H23" i="33" s="1"/>
  <c r="H22" i="6"/>
  <c r="H23" i="6" s="1"/>
  <c r="E3" i="6"/>
  <c r="F15" i="51" s="1"/>
  <c r="G15" i="51" s="1"/>
  <c r="H22" i="40"/>
  <c r="H23" i="40" s="1"/>
  <c r="E3" i="40"/>
  <c r="E3" i="49"/>
  <c r="H22" i="49"/>
  <c r="H23" i="49" s="1"/>
  <c r="E3" i="41"/>
  <c r="H22" i="41"/>
  <c r="H23" i="41" s="1"/>
  <c r="H22" i="14"/>
  <c r="H23" i="14" s="1"/>
  <c r="E3" i="14"/>
  <c r="F23" i="51" s="1"/>
  <c r="G23" i="51" s="1"/>
  <c r="H22" i="50"/>
  <c r="H23" i="50" s="1"/>
  <c r="E3" i="50"/>
  <c r="E3" i="44"/>
  <c r="H22" i="44"/>
  <c r="H23" i="44" s="1"/>
  <c r="H22" i="30"/>
  <c r="H23" i="30" s="1"/>
  <c r="E3" i="30"/>
  <c r="E3" i="37"/>
  <c r="H22" i="37"/>
  <c r="H23" i="37" s="1"/>
  <c r="E3" i="34"/>
  <c r="H22" i="34"/>
  <c r="H23" i="34" s="1"/>
  <c r="E3" i="46"/>
  <c r="H22" i="36"/>
  <c r="H23" i="36" s="1"/>
  <c r="E3" i="29"/>
  <c r="E3" i="45"/>
  <c r="E3" i="26"/>
  <c r="E3" i="28"/>
  <c r="H22" i="2" l="1"/>
  <c r="H23" i="2" s="1"/>
  <c r="E3" i="2"/>
  <c r="F11" i="51" s="1"/>
  <c r="G11" i="51" s="1"/>
  <c r="E3" i="18"/>
  <c r="F27" i="51" s="1"/>
  <c r="G27" i="51" s="1"/>
  <c r="E3" i="17"/>
  <c r="F26" i="51" s="1"/>
  <c r="G26" i="51" s="1"/>
  <c r="E3" i="4"/>
  <c r="F13" i="51" s="1"/>
  <c r="G13" i="51" s="1"/>
  <c r="H22" i="5"/>
  <c r="H23" i="5" s="1"/>
  <c r="H22" i="3"/>
  <c r="H23" i="3" s="1"/>
  <c r="H22" i="9"/>
  <c r="H23" i="9" s="1"/>
  <c r="E3" i="1"/>
  <c r="F10" i="51" s="1"/>
  <c r="G10" i="51" s="1"/>
  <c r="H22" i="1"/>
  <c r="H23" i="1" s="1"/>
  <c r="H26" i="51" l="1"/>
</calcChain>
</file>

<file path=xl/sharedStrings.xml><?xml version="1.0" encoding="utf-8"?>
<sst xmlns="http://schemas.openxmlformats.org/spreadsheetml/2006/main" count="1545" uniqueCount="192">
  <si>
    <t>ESTIMATIVA DO ITEM</t>
  </si>
  <si>
    <t>ITEM 1</t>
  </si>
  <si>
    <t>MATERIAL OU SERVIÇO</t>
  </si>
  <si>
    <t>UNIDADE</t>
  </si>
  <si>
    <t>QUANT.</t>
  </si>
  <si>
    <t>PREÇO ESTIMADO</t>
  </si>
  <si>
    <t>MENOR PREÇO</t>
  </si>
  <si>
    <t>FONTE DE PESQUISA</t>
  </si>
  <si>
    <t>PREÇOS</t>
  </si>
  <si>
    <t>DESCARTE</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</si>
  <si>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</si>
  <si>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</si>
  <si>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</si>
  <si>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</si>
  <si>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</si>
  <si>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</si>
  <si>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</si>
  <si>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</si>
  <si>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</si>
  <si>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</si>
  <si>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</si>
  <si>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</si>
  <si>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</si>
  <si>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</si>
  <si>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</si>
  <si>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</si>
  <si>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</si>
  <si>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ITEM 3</t>
  </si>
  <si>
    <t>unidade</t>
  </si>
  <si>
    <t>ITEM 4</t>
  </si>
  <si>
    <t>ITEM 5</t>
  </si>
  <si>
    <t>MAGAZINE LUIZA</t>
  </si>
  <si>
    <t>ITEM 6</t>
  </si>
  <si>
    <t>ITEM 7</t>
  </si>
  <si>
    <t>ITEM 8</t>
  </si>
  <si>
    <t>ITEM 9</t>
  </si>
  <si>
    <t>ITEM 10</t>
  </si>
  <si>
    <t>ITEM 11</t>
  </si>
  <si>
    <t>ITEM 12</t>
  </si>
  <si>
    <t>ITEM 13</t>
  </si>
  <si>
    <t>ITEM 14</t>
  </si>
  <si>
    <t>ITEM 15</t>
  </si>
  <si>
    <t>ITEM 16</t>
  </si>
  <si>
    <t>FABRICIO RACHADEL COSTA</t>
  </si>
  <si>
    <t>ITEM 17</t>
  </si>
  <si>
    <t>ITEM 18</t>
  </si>
  <si>
    <t>ITEM 19</t>
  </si>
  <si>
    <t>ITEM 20</t>
  </si>
  <si>
    <t>ITEM 21</t>
  </si>
  <si>
    <t>ITEM 22</t>
  </si>
  <si>
    <t>ITEM 25</t>
  </si>
  <si>
    <t xml:space="preserve">EXEMPLO - Serviço de confecção de placa em alumínio composto, medindo (2,06 x 0,75)m, fundo branco, com gravação das letras em baixo relevo na cor preta, gravadas através do processo de router (fresa) e Brasão da República impresso em adesivo leitoso em policromia de alta resolução com aplicação em verniz. Com borda de 5 cm na cor preta. Com perfil de alumínio em U de 5 cm em volta da extremidade do fundo da placa para melhor fixação.
Com 4 furações nas extremidades. Deverão ser fornecidos os 4 parafusos necessários para a fixação em parede de alvenaria. 
Ver desenho PLACA 01 - Será solicitada sempre que surgir uma nova necessidade, quando então será informado o nº da zona eleitoral e o nome dos municípios a serem incluídos na inscrição da placa.
</t>
  </si>
  <si>
    <t>NÃO ALTERE AS FÓRMULAS LTDA</t>
  </si>
  <si>
    <t>NÃO MUDE A ALTURA DAS LINHAS S.A</t>
  </si>
  <si>
    <t>NÃO MUDE AS CORES LTDA</t>
  </si>
  <si>
    <t>ITEM 26</t>
  </si>
  <si>
    <t>ITEM 27</t>
  </si>
  <si>
    <t>ITEM 28</t>
  </si>
  <si>
    <t>ITEM 29</t>
  </si>
  <si>
    <t>ITEM 30</t>
  </si>
  <si>
    <t>ITEM 31</t>
  </si>
  <si>
    <t>ITEM 32</t>
  </si>
  <si>
    <t>ITEM 33</t>
  </si>
  <si>
    <t>ITEM 34</t>
  </si>
  <si>
    <t>ITEM 35</t>
  </si>
  <si>
    <t>ITEM 36</t>
  </si>
  <si>
    <t>ITEM 37</t>
  </si>
  <si>
    <t>ITEM 38</t>
  </si>
  <si>
    <t>ITEM 39</t>
  </si>
  <si>
    <t>ITEM 40</t>
  </si>
  <si>
    <t>ITEM 41</t>
  </si>
  <si>
    <t>ITEM 42</t>
  </si>
  <si>
    <t>ITEM 43</t>
  </si>
  <si>
    <t>ITEM 44</t>
  </si>
  <si>
    <t>ITEM 45</t>
  </si>
  <si>
    <t>ITEM 46</t>
  </si>
  <si>
    <t>ITEM 47</t>
  </si>
  <si>
    <t>ITEM 48</t>
  </si>
  <si>
    <t>ITEM 49</t>
  </si>
  <si>
    <t>ITEM 50</t>
  </si>
  <si>
    <t>TRIBUNAL REGIONAL ELEITORAL DA BAHIA</t>
  </si>
  <si>
    <t>Seção de Análise e Aquisições</t>
  </si>
  <si>
    <t>RESULTADO DA ESTIMATIVA</t>
  </si>
  <si>
    <t>Item</t>
  </si>
  <si>
    <t>Descrição</t>
  </si>
  <si>
    <t>Unidade de Fornecimento</t>
  </si>
  <si>
    <t>Quantidade</t>
  </si>
  <si>
    <t>Valor Unitário</t>
  </si>
  <si>
    <t>Valor Total</t>
  </si>
  <si>
    <t>VALOR TOTAL ESTIMADO</t>
  </si>
  <si>
    <t xml:space="preserve">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
</t>
  </si>
  <si>
    <t xml:space="preserve">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
</t>
  </si>
  <si>
    <t xml:space="preserve">ARMÁRIO EM AÇO, com as seguintes especificações:
• Dimensões externas: 920 mm x 450 mm x 1.980 mm (lxpxh), admitidas variações de ±20 mm para altura, e de ± 50 mm para a profundidade e largura;
• Confeccionado em chapa de aço 22, inclusive as portas;
• 2 portas de giro de 180º, com três dobradiças cada;
• Pintura em epóxi-pó por processo eletrostático, com aspecto uniforme, sem manchas, sem deformidades, sem rugas, sem riscos, na cor cinza, com tratamento anti-corrosivo à base de fosfato de zinco;
• Fechadura conjugada à maçaneta acionadora das travas de segurança nas partes superior e inferior da porta;
• Com 2 chaves;
• Maçaneta fabricada em metal, cromada;
• 4 prateleiras removíveis e graduáveis a cada 50 mm, confeccionadas em chapa de aço 22, com barra de reforço transversal (no sentido da largura) em aço, na face inferior, soldada em toda a sua extensão, com três dobras nas faces frontal e posterior;
• Livre de arestas cortantes;
• Sapatas protetoras em nylon ou polímero resistente para evitar danos ao piso.
</t>
  </si>
  <si>
    <t xml:space="preserve">MESA AUXILIAR, com as seguintes especificações:
• Tampo único em MDP ou MDF, espessura de 25 mm, admitindo-se variação de ± 5 mm, revestido em ambas as faces com laminado melamínico na cor argila, bege ou marfim;
• Bordas retas em termoplástico, na cor do tampo, espessura mínima de 2 mm;
• Painel frontal, espessura de 20 mm, admitindo-se variação de ± 5 mm, revestido em ambas as faces com laminado melamínico na cor do tampo ou cinza;
• Dimensões: 800 mm x 600 mm x 735 mm (lxpxh), admitidas variações de +100 mm para largura, de ±50 mm para profundidade e de ±5 mm para altura;
• Estruturas laterais metálicas, com calha vertical metálica para passagem de fiação, pintadas em epóxi-pó por processo eletrostático na cor cinza ou preta;
• Tratamento anti-corrosivo à base de fosfato de zinco;
•  Todos os componentes metálicos aparentes em cor cinza ou preta;
• Sapatas reguladoras de nível em nylon ou polímero resistente;
• Saída de cabeamento da parte inferior para a superior com tampa removível, produzida com divisores que permitam a individualização dos circuitos;
• Calha horizontal para cabeamento sob o tampo.
</t>
  </si>
  <si>
    <t xml:space="preserve">MESA PARA IMPRESSORA, com as seguintes especificações:
• Tampo único (sem abertura para formulário) em MDP ou MDF com, no mínimo, 20 mm de espessura, admitindo-se variação de ± 5 mm;
• Dimensões: 600 mm x 400 mm x 740 mm (lxpxh), admitidas variações de ±10 mm para largura e profundidade, e de ±10 mm para altura;
• Revestimento em laminado melamínico, nas duas faces, cor argila, bege ou marfim;
• Estrutura ou pés em chapa de aço, retangular ou oblonga, com pintura em epóxi-pó por processo eletrostático na cor preta ou cinza, com tratamento anti- corrosivo à base de fosfato de zinco;
• Segmentos de junções entre as chapas retangulares soldados em toda a sua extensão, sem excessos laterais;
• Base com sapatas protetoras em nylon ou polímero resistente;
• Acabamento das bordas em PVC em todas as extremidades do tampo nas cores cinza, preta ou do tampo.
</t>
  </si>
  <si>
    <t xml:space="preserve">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
</t>
  </si>
  <si>
    <t xml:space="preserve">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
</t>
  </si>
  <si>
    <t xml:space="preserve">APOIO ERGONÔMICO PARA OS PÉS, com as
seguintes especificações:
Base (apoio para os pés) confeccionada em plástico de alta resistência e antiderrapante;
• Cor preta;
• O apoio para os pés não devem apresentar quinas vivas;
• Estrutura   tubular metálica com pés e/ou sapatas antiderrapantes;
• Dimensões da base podendo variar: 400 a 510 mm (largura) e 280 a 420 mm (profundidade);
• Inclinação ajustável;
Em conformidade com a NR17
</t>
  </si>
  <si>
    <t xml:space="preserve">ARMÁRIO DE AÇO P/ VESTIÁRIO, 16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Livre de arestas cortantes.
</t>
  </si>
  <si>
    <t xml:space="preserve">ARMÁRIO DE AÇO P/ VESTIÁRIO, 8 PORTAS,
TIPO ROUPEIRO, com as seguintes especificações: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Livre de arestas cortantes
</t>
  </si>
  <si>
    <t xml:space="preserve">ESCADA 08 DEGRAUS, com as seguintes especificações:
• Escada de abrir em alumínio com 8 degraus;
• Abertura em “A”;
• Estrutura da escada e dos degraus, inclusive do patamar superior: 100% alumínio;
• Capacidade para suportar no mínimo 120 Kg;
• Degraus e patamar antiderrapantes;
• Trava ou fita de segurança contra abertura excessiva em ambos os lados;
• Patamar largo, com travamento automático;
• Alça de apoio para as mãos na parte superior;
• Pés/sapatas antiderrapantes;
Todas as características e dimensões de acordo com a norma NBR 16308-1.
</t>
  </si>
  <si>
    <t xml:space="preserve">CADEIRA FIXA SEM BRAÇO, com as seguintes especificações:
• Assento e encosto produzido em polipropileno na cor branca.
• Pernas em aço com acabamento cromado ou em pintura eletroestática na cor cinza, com tratamento  anticorrosivo e com pés e/ou sapatas antiderrapantes.
 Medindo 51 cm (comprimento), 52 cm (largura) e 84 cm (altura) admitindo-se variações de ±3 cm no comprimento e na largura e ±4 cm na altura. Resistente à carga estática de no mínimo 140 kg
</t>
  </si>
  <si>
    <t xml:space="preserve">CADEIRA UNIVERSITÁRIA DIRETOR ESTOFADA COM PRANCHETA ESCAMOTEÁVEL (REBATÍVEL)
• Assento e encosto feito de madeira compensada multilaminada com espessura de 15 mm (±4 mm) revestida por espuma.
• Assento e encosto revestidos em couro ecológico na cor preta.
• Estrutura tubular fixa em aço com tratamento anticorrosivo e pintura epóxi.
• União entre encosto e assento em lamina de aço
• Prancheta em MDF revestida em laminado melamínico na cor branca ou cinza.
• Resistente à carga estática de no mínimo 140 kg.
• Dimensões:
Medindo 46 cm (comprimento), 48 cm (largura) altura até o assento 45cm admitindo-se variações de ±3 cm no comprimento e na largura e ±4 cm na altura
</t>
  </si>
  <si>
    <t xml:space="preserve">CADEIRA FIXA SEM BRAÇO
• Assento e encosto estofados, cor preta, com no mínimo 30 mm de espuma.
• Estrutura fixa de 4 pernas em aço na cor preta, com tratamento anticorrosivo e com pés e/ou sapatas antiderrapantes.
• Resistente à carga estática de no mínimo 120 kg.
• Altura até o assento entre 420-480 mm e altura até encosto entre 740-820 mm.
Largura do assento entre 420-500 mm e profundidade 450-500 mm.
</t>
  </si>
  <si>
    <t xml:space="preserve">BANCADA DE TESTE DE URNA
• Dimensões: 2.200 mm x 750 mm x 850 mm (LxPxH), admitidas variações de 10 mm;
• Estrutura em aço e pintura epóxi-pó na cor preta, com reforço transversal e longitudinal na base;
• Tampo em MDF, revestido com papel metalaminico na cor bege, com espessura de 30mm (variação de 5 mm);
• Duto de aço, instalado acima do tampo para passagem de cabos de 0,25 mm2, perfil retangular ou quadrado com largura de 50 mm, dimensões de 2.100 mm x 550 mm (LxH), pintura em epóxi-pó na cor preta, fixado diretamente na estrutura de aço da mesa trespassando o tampo, sendo a parte superior do duto removível;
• com 9 tomadas (NBR 14136:2002) instaladas e conectadas com cabo flexível PP 2x0,25 mm2, de 4,8m de comprimento, sendo 1,5 externo com plugue macho (NBR 14136:2002) conectado na extremidade;
Todas as especificações acima devem atender ao projeto constante do Anexo A.1 
</t>
  </si>
  <si>
    <t xml:space="preserve">CAMA DOBRÁVEL DE CAMPANHA EM AÇO, COM COLCHONETE D-20
• Capacidade mínima de 120Kg;
• Medidas da Estrutura no mínimo de: 1,94 x 0,71 x 0,26m;
• Medidas do colchonete no mínimo de: 1,90 x 0,70 x 0,08m
</t>
  </si>
  <si>
    <t>CPS MOBILIARIO E EQUIPAMENTOS EIRELI</t>
  </si>
  <si>
    <t>C J M UTILIDADES LTDA</t>
  </si>
  <si>
    <t>SUPRIMAX COMERCIAL LTDA</t>
  </si>
  <si>
    <t>NOGUEIRA NOBRE COMERCIO E SERVICOS LTDA</t>
  </si>
  <si>
    <t>ARTSTICKER COMUNICACAO VISUAL EIRELI</t>
  </si>
  <si>
    <t>FRANCRIS LIVRARIA E PAPELARIA LTDA</t>
  </si>
  <si>
    <t>ANA PAULA SEROA DA MOTTA BRAGA 11557914796</t>
  </si>
  <si>
    <t>SIS COMERCIO DE MATERIAIS E EQUIPAMENTOS LTDA</t>
  </si>
  <si>
    <t>NBX SOLUCOES INTEGRADAS EIRELI</t>
  </si>
  <si>
    <t>DANFESSI MOVEIS CORPORATIVOS E ESCOLARES LTDA</t>
  </si>
  <si>
    <t>INTELIGENCIA COMERCIO DE EQUIPAMENTOS E SERVICOS EIRELI</t>
  </si>
  <si>
    <t>ELETRISUL COMERCIO DE MERCADORIAS E REPRESENTACOES EIRELI</t>
  </si>
  <si>
    <t>JP DE MORAIS LTDA</t>
  </si>
  <si>
    <t>AILTON SOARES DA SILVA PEREIRA EIRELI</t>
  </si>
  <si>
    <t>MOVEIS E SERVICOS LTDA</t>
  </si>
  <si>
    <t>JORGE LUIZ DE GUSMAO BUARQUE EIRELI</t>
  </si>
  <si>
    <t>ARAUJO MOVEIS E TRANSPORTES LTDA</t>
  </si>
  <si>
    <t>FERREIRA MOVEIS LTDA</t>
  </si>
  <si>
    <t>ARAGORN SUPRIMENTOS E MANUTENCAO EIRELI</t>
  </si>
  <si>
    <t>COMERCIO SILVEIRA ATACADISTA DE MOVEIS MOGI MIRIM - EIRELI</t>
  </si>
  <si>
    <t>ROCHA NORTH ENGENHARIA INDUSTRIA E COMERCIO DE MOVEIS EIRELI</t>
  </si>
  <si>
    <t>JTH COMERCIO LTDA</t>
  </si>
  <si>
    <t>GAMMA INFORMATICA E MOVEIS PARA ESCRITORIO LTDA</t>
  </si>
  <si>
    <t>L N DA COSTA</t>
  </si>
  <si>
    <t>CASTRO MM COMERCIO E SERVICOS LTDA</t>
  </si>
  <si>
    <t>M &amp; C COMERCIO DE MOVEIS LTDA</t>
  </si>
  <si>
    <t>LIDIANE SENA DE MORAIS</t>
  </si>
  <si>
    <t>J. L. CARAIS MOVEIS E BRINQUEDOS LTDA</t>
  </si>
  <si>
    <t>2TLB COMERCIO E SERVICOS EIRELI</t>
  </si>
  <si>
    <t>J R D BRANDAO EIRELI</t>
  </si>
  <si>
    <t>REDE DE NEGOCIOS EM TECNOLOGIA LTDA</t>
  </si>
  <si>
    <t>CENTRO OESTE - COMERCIO DE MOVEIS E EQUIPAMENTOS LTDA</t>
  </si>
  <si>
    <t>BELTGROUP DO BRASIL LTDA</t>
  </si>
  <si>
    <t>GUARDIAN DX UNIFORMES E EQUIPAMENTOS DE PROTECAO EIRELI</t>
  </si>
  <si>
    <t>MICHELANGELO - COMERCIO DE PAINEIS E SERVICOS LTDA</t>
  </si>
  <si>
    <t>COMERCIAL OFFICE MINAS LTDA</t>
  </si>
  <si>
    <t>A J P DE SOUZA &amp; CIA COMERCIO ATACADISTA LTDA</t>
  </si>
  <si>
    <t>RM COMERCIO E SERVICOS DE INSTALACAO LTDA</t>
  </si>
  <si>
    <t>SJ COMERCIO DE UTILIDADES - EIRELI</t>
  </si>
  <si>
    <t>OFFICE SOLUCAO EM COMERCIO DE MOVEIS PARA ESCRITORIO EIRELI</t>
  </si>
  <si>
    <t>MUNDO OFFICE LTDA</t>
  </si>
  <si>
    <t>LAYOUT MOVEIS PARA ESCRITORIO LTDA</t>
  </si>
  <si>
    <t>LABOR INDUSTRIA DE MOVEIS PARA ESCRITORIO EIRELI</t>
  </si>
  <si>
    <t>OFFICE MAIS MOVEIS PARA ESCRITORIO EIRELI</t>
  </si>
  <si>
    <t>AGUIATRON COMERCIO E IMPORTACAO LTDA</t>
  </si>
  <si>
    <t>DARLU INDUSTRIA TEXTIL LTDA</t>
  </si>
  <si>
    <t>TRM - MOVEIS E SISTEMAS PARA ESCRITORIO LTDA</t>
  </si>
  <si>
    <t>L S SANTOS PRODUTOS E SERVICOS</t>
  </si>
  <si>
    <t>DETTO MOBILIARIO CORPORATIVO LTDA</t>
  </si>
  <si>
    <t>MARTINS JR COMERCIO ATACADISTA EIRELI</t>
  </si>
  <si>
    <t>M. IOLANDA S. SOUZA - ME</t>
  </si>
  <si>
    <t>CCK COMERCIAL LTDA</t>
  </si>
  <si>
    <t>AME COMERCIAL DE MATERIAIS DE ESCRITORIO LTDA</t>
  </si>
  <si>
    <t>L GOMES DA SILVA COMERCIO EIRELI</t>
  </si>
  <si>
    <t>DANI BRINDES, UNIFORMES E EPIS EIRELI</t>
  </si>
  <si>
    <t>JOAO CARLOS LOPES OKUYAMA</t>
  </si>
  <si>
    <t>DIEGO VIANA DA SILVA 35845555825</t>
  </si>
  <si>
    <t>PRIME DISTRIBUIDORA LTDA</t>
  </si>
  <si>
    <t>LIBRAMOVEIS COMERCIO E SERVICOS LTDA</t>
  </si>
  <si>
    <t>ESCRIBLU COMERCIO DE MOVEIS EIRELI</t>
  </si>
  <si>
    <t>BELCHAIR COMERCIO DE MOVEIS EIRELI</t>
  </si>
  <si>
    <t>METADIL INDUSTRIA E COMERCIO METALURGICA LTDA</t>
  </si>
  <si>
    <t>POSITANO MOVEIS DE ESCRITORIO COMERCIO E SERVICOS EIRELI</t>
  </si>
  <si>
    <t>E DIAS DE OLIVEIRA LTDA</t>
  </si>
  <si>
    <t>DESTAK DESIGN SOLUCOES EM MOVEIS LTDA</t>
  </si>
  <si>
    <t>COMERCIO DIGITAL DINIZ EIRELI</t>
  </si>
  <si>
    <t>CARMEN HISLAM SANTOS SERRAO MELO</t>
  </si>
  <si>
    <t>VERA LUCIA CORREIA DA SILVA ALVES 98850083149</t>
  </si>
  <si>
    <t>MODILAC INDUSTRIA E COMERCIO DE MOVEIS LTDA</t>
  </si>
  <si>
    <t>D3JF EMPREENDIMENTOS COMERCIAIS EIRELI</t>
  </si>
  <si>
    <t>D &amp; D EMPREENDIMENTOS COMERCIAIS EIRELI</t>
  </si>
  <si>
    <t>VIOLA MIX MOVEIS - EIRELI</t>
  </si>
  <si>
    <t>AMETTAL INDUSTRIA E COMERCIO DE MOVEIS LTDA</t>
  </si>
  <si>
    <t>MORENA COMERCIO &amp; SERVICO LTDA</t>
  </si>
  <si>
    <t>DELLAART COMERCIO LTDA ME</t>
  </si>
  <si>
    <t>EXSTO TECNOLOGIA LTDA</t>
  </si>
  <si>
    <t>ITALBRAS INDUSTRIA</t>
  </si>
  <si>
    <t>VICEL MOVEIS DE AÇO</t>
  </si>
  <si>
    <t>Lote 1 (itens 17, 18 e 19)</t>
  </si>
  <si>
    <t>Total Lote 1 =</t>
  </si>
  <si>
    <t>SOFÁ DE 01 LUGAR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cm.
• Armação estrutural em madeira ou aço.
• Dimensões:
Largura total: 760 mm a 800 mm Altura total: 780 a 820 mm
• Altura até o assento: 440 a 460 mm
• Profundidade: 780 mm a 820 mm
Todos os itens deste lote devem ser do mesmo modelo, respeitando padrão de cor, estética e tipo de material.</t>
  </si>
  <si>
    <t>SOFÁ DE 02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 Dimensões:
Largura total: 1330 mm a 1380 mm Altura total: 780 a 820 mm
• Altura até o assento: 440 a 460 mm
Profundidade: 780 mm a 820 mm
Todos os itens deste lote devem ser do mesmo modelo, respeitando padrão de cor, estética e tipo de material</t>
  </si>
  <si>
    <t>SOFÁ DE 03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Dimensões: Largura total: 1880 mm a 1920 mm
Altura total: 780 a 820 mm
• Altura até o assento: 440 a 460 mm Profundidade: 780 mm a 820 mm
Todos os itens deste lote devem ser do mesmo modelo, respeitando padrão de cor, estética e tipo de material.</t>
  </si>
  <si>
    <t>AMERICANAS</t>
  </si>
  <si>
    <t>PONTO</t>
  </si>
  <si>
    <t>FERREIRA COSTA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</si>
</sst>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R$-416]\ #,##0.00;[Red]\-[$R$-416]\ #,##0.00"/>
    <numFmt numFmtId="165" formatCode="_-&quot;R$ &quot;* #,##0.00_-;&quot;-R$ &quot;* #,##0.00_-;_-&quot;R$ &quot;* \-??_-;_-@_-"/>
  </numFmts>
  <fonts count="19" x14ac:knownFonts="1">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b/>
      <sz val="10"/>
      <color rgb="FF000000"/>
      <name val="Calibri"/>
      <family val="2"/>
      <charset val="1"/>
    </font>
    <font>
      <sz val="10"/>
      <color rgb="FF000000"/>
      <name val="Calibri"/>
      <family val="2"/>
      <charset val="1"/>
    </font>
    <font>
      <b/>
      <sz val="9"/>
      <name val="Calibri"/>
      <family val="2"/>
      <charset val="1"/>
    </font>
    <font>
      <sz val="10"/>
      <name val="Arial"/>
      <charset val="1"/>
    </font>
    <font>
      <sz val="18"/>
      <name val="Calibri"/>
      <family val="2"/>
      <scheme val="minor"/>
    </font>
    <font>
      <sz val="22"/>
      <name val="Calibri"/>
      <family val="2"/>
      <charset val="1"/>
    </font>
  </fonts>
  <fills count="12">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
      <patternFill patternType="solid">
        <fgColor theme="2" tint="-0.249977111117893"/>
        <bgColor indexed="64"/>
      </patternFill>
    </fill>
  </fills>
  <borders count="11">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right style="hair">
        <color auto="1"/>
      </right>
      <top style="hair">
        <color auto="1"/>
      </top>
      <bottom style="hair">
        <color auto="1"/>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21">
    <xf numFmtId="0" fontId="0" fillId="0" borderId="0"/>
    <xf numFmtId="165" fontId="16"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67">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3" fillId="0" borderId="2" xfId="0" applyNumberFormat="1" applyFont="1" applyBorder="1" applyAlignment="1" applyProtection="1">
      <alignment horizontal="center" shrinkToFit="1"/>
      <protection locked="0"/>
    </xf>
    <xf numFmtId="164" fontId="13"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4" fillId="0" borderId="4"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5" xfId="0" applyFont="1" applyBorder="1" applyAlignment="1" applyProtection="1">
      <alignment horizontal="center" vertical="center" wrapText="1"/>
      <protection locked="0"/>
    </xf>
    <xf numFmtId="0" fontId="14"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3" fillId="0" borderId="0" xfId="0" applyNumberFormat="1" applyFont="1" applyBorder="1" applyAlignment="1" applyProtection="1">
      <alignment horizontal="center"/>
      <protection locked="0"/>
    </xf>
    <xf numFmtId="0" fontId="13" fillId="10" borderId="2" xfId="0" applyFont="1" applyFill="1" applyBorder="1" applyAlignment="1" applyProtection="1">
      <alignment horizontal="center" vertical="center"/>
    </xf>
    <xf numFmtId="0" fontId="13"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4" fillId="10" borderId="4" xfId="0" applyNumberFormat="1" applyFont="1" applyFill="1" applyBorder="1" applyAlignment="1" applyProtection="1">
      <alignment horizontal="center" shrinkToFit="1"/>
    </xf>
    <xf numFmtId="164" fontId="14"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4" fillId="0" borderId="0" xfId="0" applyNumberFormat="1" applyFont="1" applyBorder="1" applyAlignment="1" applyProtection="1">
      <protection locked="0"/>
    </xf>
    <xf numFmtId="164" fontId="13" fillId="10" borderId="2" xfId="0" applyNumberFormat="1" applyFont="1" applyFill="1" applyBorder="1" applyAlignment="1" applyProtection="1">
      <alignment horizontal="center" vertical="center"/>
    </xf>
    <xf numFmtId="164" fontId="14" fillId="10" borderId="2" xfId="0" applyNumberFormat="1" applyFont="1" applyFill="1" applyBorder="1" applyAlignment="1" applyProtection="1">
      <alignment horizontal="right" shrinkToFit="1"/>
    </xf>
    <xf numFmtId="164" fontId="13" fillId="0" borderId="0" xfId="0" applyNumberFormat="1" applyFont="1" applyBorder="1" applyAlignment="1" applyProtection="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wrapText="1"/>
    </xf>
    <xf numFmtId="0" fontId="11" fillId="0" borderId="7" xfId="0" applyFont="1" applyBorder="1" applyAlignment="1">
      <alignment horizont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5" fontId="10" fillId="10" borderId="2" xfId="1" applyFont="1" applyFill="1" applyBorder="1" applyAlignment="1" applyProtection="1">
      <alignment vertical="center" wrapText="1"/>
    </xf>
    <xf numFmtId="0" fontId="10" fillId="0" borderId="0" xfId="0" applyFont="1" applyAlignment="1">
      <alignment vertical="center"/>
    </xf>
    <xf numFmtId="0" fontId="11" fillId="0" borderId="4" xfId="0" applyFont="1" applyBorder="1" applyAlignment="1">
      <alignment wrapText="1"/>
    </xf>
    <xf numFmtId="165" fontId="12" fillId="10" borderId="2" xfId="1" applyFont="1" applyFill="1" applyBorder="1" applyAlignment="1" applyProtection="1">
      <alignment vertical="center" wrapText="1"/>
    </xf>
    <xf numFmtId="0" fontId="10" fillId="10" borderId="8" xfId="0" applyFont="1" applyFill="1" applyBorder="1" applyAlignment="1">
      <alignment horizontal="center" vertical="center" wrapText="1"/>
    </xf>
    <xf numFmtId="165" fontId="10" fillId="10" borderId="3" xfId="1" applyFont="1" applyFill="1" applyBorder="1" applyAlignment="1" applyProtection="1">
      <alignment vertical="center" wrapText="1"/>
    </xf>
    <xf numFmtId="0" fontId="10" fillId="10" borderId="4" xfId="0" applyFont="1" applyFill="1" applyBorder="1" applyAlignment="1">
      <alignment vertical="center" wrapText="1"/>
    </xf>
    <xf numFmtId="165" fontId="18" fillId="11" borderId="6" xfId="0" applyNumberFormat="1" applyFont="1" applyFill="1" applyBorder="1" applyAlignment="1">
      <alignment textRotation="90"/>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4" fillId="0" borderId="2" xfId="0" applyFont="1" applyBorder="1" applyAlignment="1" applyProtection="1">
      <alignment horizontal="center" vertical="center" wrapText="1"/>
      <protection locked="0"/>
    </xf>
    <xf numFmtId="0" fontId="14" fillId="0" borderId="2" xfId="0" applyFont="1" applyBorder="1" applyAlignment="1" applyProtection="1">
      <alignment horizontal="center" vertical="center" shrinkToFit="1"/>
      <protection locked="0"/>
    </xf>
    <xf numFmtId="164" fontId="13" fillId="10" borderId="2" xfId="0" applyNumberFormat="1" applyFont="1" applyFill="1" applyBorder="1" applyAlignment="1" applyProtection="1">
      <alignment horizontal="center" vertical="center" shrinkToFi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4" fillId="0" borderId="2" xfId="0" applyFont="1" applyBorder="1" applyAlignment="1" applyProtection="1">
      <alignment vertical="top" wrapText="1"/>
      <protection locked="0"/>
    </xf>
    <xf numFmtId="0" fontId="18" fillId="11" borderId="9" xfId="0" applyFont="1" applyFill="1" applyBorder="1" applyAlignment="1">
      <alignment horizontal="right" vertical="top" textRotation="90"/>
    </xf>
    <xf numFmtId="0" fontId="18" fillId="11" borderId="10" xfId="0" applyFont="1" applyFill="1" applyBorder="1" applyAlignment="1">
      <alignment horizontal="right" vertical="top" textRotation="90"/>
    </xf>
    <xf numFmtId="0" fontId="11" fillId="0" borderId="0" xfId="0" applyFont="1" applyBorder="1" applyAlignment="1">
      <alignment horizontal="center" vertical="center" wrapText="1"/>
    </xf>
    <xf numFmtId="0" fontId="11" fillId="9" borderId="2" xfId="0" applyFont="1" applyFill="1" applyBorder="1" applyAlignment="1">
      <alignment horizontal="center" wrapText="1"/>
    </xf>
    <xf numFmtId="0" fontId="17" fillId="11" borderId="6" xfId="0" applyFont="1" applyFill="1" applyBorder="1" applyAlignment="1">
      <alignment horizontal="right" vertical="center" textRotation="90"/>
    </xf>
    <xf numFmtId="0" fontId="17" fillId="11" borderId="9" xfId="0" applyFont="1" applyFill="1" applyBorder="1" applyAlignment="1">
      <alignment horizontal="right" vertical="center" textRotation="90"/>
    </xf>
    <xf numFmtId="0" fontId="17" fillId="11" borderId="10" xfId="0" applyFont="1" applyFill="1" applyBorder="1" applyAlignment="1">
      <alignment horizontal="right" vertical="center" textRotation="90"/>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4559685</xdr:colOff>
      <xdr:row>0</xdr:row>
      <xdr:rowOff>0</xdr:rowOff>
    </xdr:from>
    <xdr:to>
      <xdr:col>2</xdr:col>
      <xdr:colOff>5160165</xdr:colOff>
      <xdr:row>3</xdr:row>
      <xdr:rowOff>115920</xdr:rowOff>
    </xdr:to>
    <xdr:pic>
      <xdr:nvPicPr>
        <xdr:cNvPr id="2" name="Figura 1"/>
        <xdr:cNvPicPr/>
      </xdr:nvPicPr>
      <xdr:blipFill>
        <a:blip xmlns:r="http://schemas.openxmlformats.org/officeDocument/2006/relationships" r:embed="rId1"/>
        <a:stretch/>
      </xdr:blipFill>
      <xdr:spPr>
        <a:xfrm>
          <a:off x="5537585" y="0"/>
          <a:ext cx="600480" cy="611220"/>
        </a:xfrm>
        <a:prstGeom prst="rect">
          <a:avLst/>
        </a:prstGeom>
        <a:ln w="0">
          <a:noFill/>
        </a:ln>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8" sqref="G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1</v>
      </c>
      <c r="B2" s="2" t="s">
        <v>2</v>
      </c>
      <c r="C2" s="2" t="s">
        <v>3</v>
      </c>
      <c r="D2" s="2" t="s">
        <v>4</v>
      </c>
      <c r="E2" s="3" t="s">
        <v>5</v>
      </c>
      <c r="F2" s="3" t="s">
        <v>6</v>
      </c>
      <c r="G2" s="2" t="s">
        <v>7</v>
      </c>
      <c r="H2" s="4" t="s">
        <v>8</v>
      </c>
      <c r="I2" s="5" t="s">
        <v>9</v>
      </c>
    </row>
    <row r="3" spans="1:9" ht="12.75" customHeight="1" x14ac:dyDescent="0.2">
      <c r="A3" s="50"/>
      <c r="B3" s="51" t="s">
        <v>90</v>
      </c>
      <c r="C3" s="52" t="s">
        <v>28</v>
      </c>
      <c r="D3" s="53">
        <v>200</v>
      </c>
      <c r="E3" s="54">
        <f>IF(C20&lt;=25%,D20,MIN(E20:F20))</f>
        <v>247</v>
      </c>
      <c r="F3" s="54">
        <f>MIN(H3:H17)</f>
        <v>202.05</v>
      </c>
      <c r="G3" s="6" t="s">
        <v>114</v>
      </c>
      <c r="H3" s="7">
        <v>202.05</v>
      </c>
      <c r="I3" s="8">
        <f t="shared" ref="I3:I17" si="0">IF(H3="","",(IF($C$20&lt;25%,"N/A",IF(H3&lt;=($D$20+$A$20),H3,"Descartado"))))</f>
        <v>202.05</v>
      </c>
    </row>
    <row r="4" spans="1:9" x14ac:dyDescent="0.2">
      <c r="A4" s="50"/>
      <c r="B4" s="51"/>
      <c r="C4" s="52"/>
      <c r="D4" s="53"/>
      <c r="E4" s="54"/>
      <c r="F4" s="54"/>
      <c r="G4" s="6" t="s">
        <v>115</v>
      </c>
      <c r="H4" s="7">
        <v>203.63</v>
      </c>
      <c r="I4" s="8">
        <f t="shared" si="0"/>
        <v>203.63</v>
      </c>
    </row>
    <row r="5" spans="1:9" x14ac:dyDescent="0.2">
      <c r="A5" s="50"/>
      <c r="B5" s="51"/>
      <c r="C5" s="52"/>
      <c r="D5" s="53"/>
      <c r="E5" s="54"/>
      <c r="F5" s="54"/>
      <c r="G5" s="6" t="s">
        <v>116</v>
      </c>
      <c r="H5" s="7">
        <v>215</v>
      </c>
      <c r="I5" s="8">
        <f t="shared" si="0"/>
        <v>215</v>
      </c>
    </row>
    <row r="6" spans="1:9" x14ac:dyDescent="0.2">
      <c r="A6" s="50"/>
      <c r="B6" s="51"/>
      <c r="C6" s="52"/>
      <c r="D6" s="53"/>
      <c r="E6" s="54"/>
      <c r="F6" s="54"/>
      <c r="G6" s="6" t="s">
        <v>117</v>
      </c>
      <c r="H6" s="7">
        <v>229</v>
      </c>
      <c r="I6" s="8">
        <f t="shared" si="0"/>
        <v>229</v>
      </c>
    </row>
    <row r="7" spans="1:9" x14ac:dyDescent="0.2">
      <c r="A7" s="50"/>
      <c r="B7" s="51"/>
      <c r="C7" s="52"/>
      <c r="D7" s="53"/>
      <c r="E7" s="54"/>
      <c r="F7" s="54"/>
      <c r="G7" s="6" t="s">
        <v>118</v>
      </c>
      <c r="H7" s="7">
        <v>229</v>
      </c>
      <c r="I7" s="8">
        <f t="shared" si="0"/>
        <v>229</v>
      </c>
    </row>
    <row r="8" spans="1:9" x14ac:dyDescent="0.2">
      <c r="A8" s="50"/>
      <c r="B8" s="51"/>
      <c r="C8" s="52"/>
      <c r="D8" s="53"/>
      <c r="E8" s="54"/>
      <c r="F8" s="54"/>
      <c r="G8" s="6" t="s">
        <v>119</v>
      </c>
      <c r="H8" s="7">
        <v>239</v>
      </c>
      <c r="I8" s="8">
        <f t="shared" si="0"/>
        <v>239</v>
      </c>
    </row>
    <row r="9" spans="1:9" x14ac:dyDescent="0.2">
      <c r="A9" s="50"/>
      <c r="B9" s="51"/>
      <c r="C9" s="52"/>
      <c r="D9" s="53"/>
      <c r="E9" s="54"/>
      <c r="F9" s="54"/>
      <c r="G9" s="6" t="s">
        <v>120</v>
      </c>
      <c r="H9" s="7">
        <v>243.9</v>
      </c>
      <c r="I9" s="8">
        <f t="shared" si="0"/>
        <v>243.9</v>
      </c>
    </row>
    <row r="10" spans="1:9" x14ac:dyDescent="0.2">
      <c r="A10" s="50"/>
      <c r="B10" s="51"/>
      <c r="C10" s="52"/>
      <c r="D10" s="53"/>
      <c r="E10" s="54"/>
      <c r="F10" s="54"/>
      <c r="G10" s="6" t="s">
        <v>121</v>
      </c>
      <c r="H10" s="7">
        <v>247</v>
      </c>
      <c r="I10" s="8">
        <f t="shared" si="0"/>
        <v>247</v>
      </c>
    </row>
    <row r="11" spans="1:9" x14ac:dyDescent="0.2">
      <c r="A11" s="50"/>
      <c r="B11" s="51"/>
      <c r="C11" s="52"/>
      <c r="D11" s="53"/>
      <c r="E11" s="54"/>
      <c r="F11" s="54"/>
      <c r="G11" s="6" t="s">
        <v>43</v>
      </c>
      <c r="H11" s="7">
        <v>315.52999999999997</v>
      </c>
      <c r="I11" s="8">
        <f t="shared" si="0"/>
        <v>315.52999999999997</v>
      </c>
    </row>
    <row r="12" spans="1:9" x14ac:dyDescent="0.2">
      <c r="A12" s="50"/>
      <c r="B12" s="51"/>
      <c r="C12" s="52"/>
      <c r="D12" s="53"/>
      <c r="E12" s="54"/>
      <c r="F12" s="54"/>
      <c r="G12" s="6" t="s">
        <v>122</v>
      </c>
      <c r="H12" s="7">
        <v>333.33330000000001</v>
      </c>
      <c r="I12" s="8">
        <f t="shared" si="0"/>
        <v>333.33330000000001</v>
      </c>
    </row>
    <row r="13" spans="1:9" x14ac:dyDescent="0.2">
      <c r="A13" s="50"/>
      <c r="B13" s="51"/>
      <c r="C13" s="52"/>
      <c r="D13" s="53"/>
      <c r="E13" s="54"/>
      <c r="F13" s="54"/>
      <c r="G13" s="6" t="s">
        <v>123</v>
      </c>
      <c r="H13" s="7">
        <v>360</v>
      </c>
      <c r="I13" s="8">
        <f t="shared" si="0"/>
        <v>360</v>
      </c>
    </row>
    <row r="14" spans="1:9" x14ac:dyDescent="0.2">
      <c r="A14" s="50"/>
      <c r="B14" s="51"/>
      <c r="C14" s="52"/>
      <c r="D14" s="53"/>
      <c r="E14" s="54"/>
      <c r="F14" s="54"/>
      <c r="G14" s="6" t="s">
        <v>124</v>
      </c>
      <c r="H14" s="7">
        <v>384</v>
      </c>
      <c r="I14" s="8">
        <f t="shared" si="0"/>
        <v>384</v>
      </c>
    </row>
    <row r="15" spans="1:9" x14ac:dyDescent="0.2">
      <c r="A15" s="50"/>
      <c r="B15" s="51"/>
      <c r="C15" s="52"/>
      <c r="D15" s="53"/>
      <c r="E15" s="54"/>
      <c r="F15" s="54"/>
      <c r="G15" s="6" t="s">
        <v>125</v>
      </c>
      <c r="H15" s="7">
        <v>394.9</v>
      </c>
      <c r="I15" s="8">
        <f t="shared" si="0"/>
        <v>394.9</v>
      </c>
    </row>
    <row r="16" spans="1:9" x14ac:dyDescent="0.2">
      <c r="A16" s="50"/>
      <c r="B16" s="51"/>
      <c r="C16" s="52"/>
      <c r="D16" s="53"/>
      <c r="E16" s="54"/>
      <c r="F16" s="54"/>
      <c r="G16" s="6" t="s">
        <v>126</v>
      </c>
      <c r="H16" s="7">
        <v>439</v>
      </c>
      <c r="I16" s="8" t="str">
        <f t="shared" si="0"/>
        <v>Descartado</v>
      </c>
    </row>
    <row r="17" spans="1:11" x14ac:dyDescent="0.2">
      <c r="A17" s="50"/>
      <c r="B17" s="51"/>
      <c r="C17" s="52"/>
      <c r="D17" s="53"/>
      <c r="E17" s="54"/>
      <c r="F17" s="54"/>
      <c r="G17" s="6" t="s">
        <v>127</v>
      </c>
      <c r="H17" s="7">
        <v>498.09</v>
      </c>
      <c r="I17" s="8" t="str">
        <f t="shared" si="0"/>
        <v>Descartado</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94.629359024828062</v>
      </c>
      <c r="B20" s="19">
        <f>COUNT(H3:H17)</f>
        <v>15</v>
      </c>
      <c r="C20" s="20">
        <f>IF(B20&lt;2,"N/A",(A20/D20))</f>
        <v>0.31310379189633081</v>
      </c>
      <c r="D20" s="21">
        <f>ROUND(AVERAGE(H3:H17),2)</f>
        <v>302.23</v>
      </c>
      <c r="E20" s="22">
        <f>IFERROR(ROUND(IF(B20&lt;2,"N/A",(IF(C20&lt;=25%,"N/A",AVERAGE(I3:I17)))),2),"N/A")</f>
        <v>276.64</v>
      </c>
      <c r="F20" s="22">
        <f>ROUND(MEDIAN(H3:H17),2)</f>
        <v>247</v>
      </c>
      <c r="G20" s="23" t="str">
        <f>INDEX(G3:G17,MATCH(H20,H3:H17,0))</f>
        <v>NBX SOLUCOES INTEGRADAS EIRELI</v>
      </c>
      <c r="H20" s="24">
        <f>MIN(H3:H17)</f>
        <v>202.05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247</v>
      </c>
    </row>
    <row r="23" spans="1:11" x14ac:dyDescent="0.2">
      <c r="B23" s="25"/>
      <c r="C23" s="25"/>
      <c r="D23" s="56"/>
      <c r="E23" s="56"/>
      <c r="F23" s="33"/>
      <c r="G23" s="4" t="s">
        <v>18</v>
      </c>
      <c r="H23" s="24">
        <f>ROUND(H22,2)*D3</f>
        <v>49400</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36</v>
      </c>
      <c r="B2" s="2" t="s">
        <v>2</v>
      </c>
      <c r="C2" s="2" t="s">
        <v>3</v>
      </c>
      <c r="D2" s="2" t="s">
        <v>4</v>
      </c>
      <c r="E2" s="3" t="s">
        <v>5</v>
      </c>
      <c r="F2" s="3" t="s">
        <v>6</v>
      </c>
      <c r="G2" s="2" t="s">
        <v>7</v>
      </c>
      <c r="H2" s="4" t="s">
        <v>8</v>
      </c>
      <c r="I2" s="5" t="s">
        <v>9</v>
      </c>
    </row>
    <row r="3" spans="1:9" ht="12.75" customHeight="1" x14ac:dyDescent="0.2">
      <c r="A3" s="50"/>
      <c r="B3" s="59" t="s">
        <v>99</v>
      </c>
      <c r="C3" s="52" t="s">
        <v>28</v>
      </c>
      <c r="D3" s="53">
        <v>30</v>
      </c>
      <c r="E3" s="54">
        <f>IF(C20&lt;=25%,D20,MIN(E20:F20))</f>
        <v>1009.36</v>
      </c>
      <c r="F3" s="54">
        <f>MIN(H3:H17)</f>
        <v>765</v>
      </c>
      <c r="G3" s="6" t="s">
        <v>141</v>
      </c>
      <c r="H3" s="7">
        <v>765</v>
      </c>
      <c r="I3" s="8" t="str">
        <f t="shared" ref="I3:I17" si="0">IF(H3="","",(IF($C$20&lt;25%,"N/A",IF(H3&lt;=($D$20+$A$20),H3,"Descartado"))))</f>
        <v>N/A</v>
      </c>
    </row>
    <row r="4" spans="1:9" x14ac:dyDescent="0.2">
      <c r="A4" s="50"/>
      <c r="B4" s="59"/>
      <c r="C4" s="52"/>
      <c r="D4" s="53"/>
      <c r="E4" s="54"/>
      <c r="F4" s="54"/>
      <c r="G4" s="6" t="s">
        <v>142</v>
      </c>
      <c r="H4" s="7">
        <v>914</v>
      </c>
      <c r="I4" s="8" t="str">
        <f t="shared" si="0"/>
        <v>N/A</v>
      </c>
    </row>
    <row r="5" spans="1:9" x14ac:dyDescent="0.2">
      <c r="A5" s="50"/>
      <c r="B5" s="59"/>
      <c r="C5" s="52"/>
      <c r="D5" s="53"/>
      <c r="E5" s="54"/>
      <c r="F5" s="54"/>
      <c r="G5" s="6" t="s">
        <v>143</v>
      </c>
      <c r="H5" s="7">
        <v>1100</v>
      </c>
      <c r="I5" s="8" t="str">
        <f t="shared" si="0"/>
        <v>N/A</v>
      </c>
    </row>
    <row r="6" spans="1:9" x14ac:dyDescent="0.2">
      <c r="A6" s="50"/>
      <c r="B6" s="59"/>
      <c r="C6" s="52"/>
      <c r="D6" s="53"/>
      <c r="E6" s="54"/>
      <c r="F6" s="54"/>
      <c r="G6" s="6" t="s">
        <v>144</v>
      </c>
      <c r="H6" s="7">
        <v>1258.45</v>
      </c>
      <c r="I6" s="8" t="str">
        <f t="shared" si="0"/>
        <v>N/A</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215.3034888051441</v>
      </c>
      <c r="B20" s="19">
        <f>COUNT(H3:H17)</f>
        <v>4</v>
      </c>
      <c r="C20" s="20">
        <f>IF(B20&lt;2,"N/A",(A20/D20))</f>
        <v>0.21330693588525809</v>
      </c>
      <c r="D20" s="21">
        <f>ROUND(AVERAGE(H3:H17),2)</f>
        <v>1009.36</v>
      </c>
      <c r="E20" s="22" t="str">
        <f>IFERROR(ROUND(IF(B20&lt;2,"N/A",(IF(C20&lt;=25%,"N/A",AVERAGE(I3:I17)))),2),"N/A")</f>
        <v>N/A</v>
      </c>
      <c r="F20" s="22">
        <f>ROUND(MEDIAN(H3:H17),2)</f>
        <v>1007</v>
      </c>
      <c r="G20" s="23" t="str">
        <f>INDEX(G3:G17,MATCH(H20,H3:H17,0))</f>
        <v>COMERCIAL OFFICE MINAS LTDA</v>
      </c>
      <c r="H20" s="24">
        <f>MIN(H3:H17)</f>
        <v>765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1009.36</v>
      </c>
    </row>
    <row r="23" spans="1:11" x14ac:dyDescent="0.2">
      <c r="B23" s="25"/>
      <c r="C23" s="25"/>
      <c r="D23" s="56"/>
      <c r="E23" s="56"/>
      <c r="F23" s="33"/>
      <c r="G23" s="4" t="s">
        <v>18</v>
      </c>
      <c r="H23" s="24">
        <f>ROUND(H22,2)*D3</f>
        <v>30280.799999999999</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6" sqref="G6"/>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37</v>
      </c>
      <c r="B2" s="2" t="s">
        <v>2</v>
      </c>
      <c r="C2" s="2" t="s">
        <v>3</v>
      </c>
      <c r="D2" s="2" t="s">
        <v>4</v>
      </c>
      <c r="E2" s="3" t="s">
        <v>5</v>
      </c>
      <c r="F2" s="3" t="s">
        <v>6</v>
      </c>
      <c r="G2" s="2" t="s">
        <v>7</v>
      </c>
      <c r="H2" s="4" t="s">
        <v>8</v>
      </c>
      <c r="I2" s="5" t="s">
        <v>9</v>
      </c>
    </row>
    <row r="3" spans="1:9" ht="12.75" customHeight="1" x14ac:dyDescent="0.2">
      <c r="A3" s="50"/>
      <c r="B3" s="59" t="s">
        <v>100</v>
      </c>
      <c r="C3" s="52" t="s">
        <v>28</v>
      </c>
      <c r="D3" s="53">
        <v>60</v>
      </c>
      <c r="E3" s="54">
        <f>IF(C20&lt;=25%,D20,MIN(E20:F20))</f>
        <v>258</v>
      </c>
      <c r="F3" s="54">
        <f>MIN(H3:H17)</f>
        <v>229</v>
      </c>
      <c r="G3" s="6" t="s">
        <v>157</v>
      </c>
      <c r="H3" s="7">
        <v>229</v>
      </c>
      <c r="I3" s="8">
        <f t="shared" ref="I3:I17" si="0">IF(H3="","",(IF($C$20&lt;25%,"N/A",IF(H3&lt;=($D$20+$A$20),H3,"Descartado"))))</f>
        <v>229</v>
      </c>
    </row>
    <row r="4" spans="1:9" x14ac:dyDescent="0.2">
      <c r="A4" s="50"/>
      <c r="B4" s="59"/>
      <c r="C4" s="52"/>
      <c r="D4" s="53"/>
      <c r="E4" s="54"/>
      <c r="F4" s="54"/>
      <c r="G4" s="6" t="s">
        <v>158</v>
      </c>
      <c r="H4" s="7">
        <v>287</v>
      </c>
      <c r="I4" s="8">
        <f t="shared" si="0"/>
        <v>287</v>
      </c>
    </row>
    <row r="5" spans="1:9" x14ac:dyDescent="0.2">
      <c r="A5" s="50"/>
      <c r="B5" s="59"/>
      <c r="C5" s="52"/>
      <c r="D5" s="53"/>
      <c r="E5" s="54"/>
      <c r="F5" s="54"/>
      <c r="G5" s="6" t="s">
        <v>159</v>
      </c>
      <c r="H5" s="7">
        <v>413.86</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94.543357954609036</v>
      </c>
      <c r="B20" s="19">
        <f>COUNT(H3:H17)</f>
        <v>3</v>
      </c>
      <c r="C20" s="20">
        <f>IF(B20&lt;2,"N/A",(A20/D20))</f>
        <v>0.30502777207487997</v>
      </c>
      <c r="D20" s="21">
        <f>ROUND(AVERAGE(H3:H17),2)</f>
        <v>309.95</v>
      </c>
      <c r="E20" s="22">
        <f>IFERROR(ROUND(IF(B20&lt;2,"N/A",(IF(C20&lt;=25%,"N/A",AVERAGE(I3:I17)))),2),"N/A")</f>
        <v>258</v>
      </c>
      <c r="F20" s="22">
        <f>ROUND(MEDIAN(H3:H17),2)</f>
        <v>287</v>
      </c>
      <c r="G20" s="23" t="str">
        <f>INDEX(G3:G17,MATCH(H20,H3:H17,0))</f>
        <v>CCK COMERCIAL LTDA</v>
      </c>
      <c r="H20" s="24">
        <f>MIN(H3:H17)</f>
        <v>229</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258</v>
      </c>
    </row>
    <row r="23" spans="1:11" x14ac:dyDescent="0.2">
      <c r="B23" s="25"/>
      <c r="C23" s="25"/>
      <c r="D23" s="56"/>
      <c r="E23" s="56"/>
      <c r="F23" s="33"/>
      <c r="G23" s="4" t="s">
        <v>18</v>
      </c>
      <c r="H23" s="24">
        <f>ROUND(H22,2)*D3</f>
        <v>15480</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9" sqref="G9"/>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38</v>
      </c>
      <c r="B2" s="2" t="s">
        <v>2</v>
      </c>
      <c r="C2" s="2" t="s">
        <v>3</v>
      </c>
      <c r="D2" s="2" t="s">
        <v>4</v>
      </c>
      <c r="E2" s="3" t="s">
        <v>5</v>
      </c>
      <c r="F2" s="3" t="s">
        <v>6</v>
      </c>
      <c r="G2" s="2" t="s">
        <v>7</v>
      </c>
      <c r="H2" s="4" t="s">
        <v>8</v>
      </c>
      <c r="I2" s="5" t="s">
        <v>9</v>
      </c>
    </row>
    <row r="3" spans="1:9" ht="12.75" customHeight="1" x14ac:dyDescent="0.2">
      <c r="A3" s="50"/>
      <c r="B3" s="59" t="s">
        <v>101</v>
      </c>
      <c r="C3" s="52" t="s">
        <v>28</v>
      </c>
      <c r="D3" s="53">
        <v>150</v>
      </c>
      <c r="E3" s="54">
        <f>IF(C20&lt;=25%,D20,MIN(E20:F20))</f>
        <v>79.989999999999995</v>
      </c>
      <c r="F3" s="54">
        <f>MIN(H3:H17)</f>
        <v>70</v>
      </c>
      <c r="G3" s="6" t="s">
        <v>175</v>
      </c>
      <c r="H3" s="7">
        <v>70</v>
      </c>
      <c r="I3" s="8">
        <f t="shared" ref="I3:I17" si="0">IF(H3="","",(IF($C$20&lt;25%,"N/A",IF(H3&lt;=($D$20+$A$20),H3,"Descartado"))))</f>
        <v>70</v>
      </c>
    </row>
    <row r="4" spans="1:9" x14ac:dyDescent="0.2">
      <c r="A4" s="50"/>
      <c r="B4" s="59"/>
      <c r="C4" s="52"/>
      <c r="D4" s="53"/>
      <c r="E4" s="54"/>
      <c r="F4" s="54"/>
      <c r="G4" s="6" t="s">
        <v>176</v>
      </c>
      <c r="H4" s="7">
        <v>71.875</v>
      </c>
      <c r="I4" s="8">
        <f t="shared" si="0"/>
        <v>71.875</v>
      </c>
    </row>
    <row r="5" spans="1:9" x14ac:dyDescent="0.2">
      <c r="A5" s="50"/>
      <c r="B5" s="59"/>
      <c r="C5" s="52"/>
      <c r="D5" s="53"/>
      <c r="E5" s="54"/>
      <c r="F5" s="54"/>
      <c r="G5" s="6" t="s">
        <v>177</v>
      </c>
      <c r="H5" s="7">
        <v>75</v>
      </c>
      <c r="I5" s="8">
        <f t="shared" si="0"/>
        <v>75</v>
      </c>
    </row>
    <row r="6" spans="1:9" x14ac:dyDescent="0.2">
      <c r="A6" s="50"/>
      <c r="B6" s="59"/>
      <c r="C6" s="52"/>
      <c r="D6" s="53"/>
      <c r="E6" s="54"/>
      <c r="F6" s="54"/>
      <c r="G6" s="6" t="s">
        <v>136</v>
      </c>
      <c r="H6" s="7">
        <v>84.98</v>
      </c>
      <c r="I6" s="8">
        <f t="shared" si="0"/>
        <v>84.98</v>
      </c>
    </row>
    <row r="7" spans="1:9" x14ac:dyDescent="0.2">
      <c r="A7" s="50"/>
      <c r="B7" s="59"/>
      <c r="C7" s="52"/>
      <c r="D7" s="53"/>
      <c r="E7" s="54"/>
      <c r="F7" s="54"/>
      <c r="G7" s="6" t="s">
        <v>178</v>
      </c>
      <c r="H7" s="7">
        <v>100</v>
      </c>
      <c r="I7" s="8">
        <f t="shared" si="0"/>
        <v>100</v>
      </c>
    </row>
    <row r="8" spans="1:9" x14ac:dyDescent="0.2">
      <c r="A8" s="50"/>
      <c r="B8" s="59"/>
      <c r="C8" s="52"/>
      <c r="D8" s="53"/>
      <c r="E8" s="54"/>
      <c r="F8" s="54"/>
      <c r="G8" s="6" t="s">
        <v>179</v>
      </c>
      <c r="H8" s="7">
        <v>138.05969999999999</v>
      </c>
      <c r="I8" s="8" t="str">
        <f t="shared" si="0"/>
        <v>Descartado</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26.032478085684883</v>
      </c>
      <c r="B20" s="19">
        <f>COUNT(H3:H17)</f>
        <v>6</v>
      </c>
      <c r="C20" s="20">
        <f>IF(B20&lt;2,"N/A",(A20/D20))</f>
        <v>0.28928189894082545</v>
      </c>
      <c r="D20" s="21">
        <f>ROUND(AVERAGE(H3:H17),2)</f>
        <v>89.99</v>
      </c>
      <c r="E20" s="22">
        <f>IFERROR(ROUND(IF(B20&lt;2,"N/A",(IF(C20&lt;=25%,"N/A",AVERAGE(I3:I17)))),2),"N/A")</f>
        <v>80.37</v>
      </c>
      <c r="F20" s="22">
        <f>ROUND(MEDIAN(H3:H17),2)</f>
        <v>79.989999999999995</v>
      </c>
      <c r="G20" s="23" t="str">
        <f>INDEX(G3:G17,MATCH(H20,H3:H17,0))</f>
        <v>D3JF EMPREENDIMENTOS COMERCIAIS EIRELI</v>
      </c>
      <c r="H20" s="24">
        <f>MIN(H3:H17)</f>
        <v>70</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79.989999999999995</v>
      </c>
    </row>
    <row r="23" spans="1:11" x14ac:dyDescent="0.2">
      <c r="B23" s="25"/>
      <c r="C23" s="25"/>
      <c r="D23" s="56"/>
      <c r="E23" s="56"/>
      <c r="F23" s="33"/>
      <c r="G23" s="4" t="s">
        <v>18</v>
      </c>
      <c r="H23" s="24">
        <f>ROUND(H22,2)*D3</f>
        <v>11998.5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39</v>
      </c>
      <c r="B2" s="2" t="s">
        <v>2</v>
      </c>
      <c r="C2" s="2" t="s">
        <v>3</v>
      </c>
      <c r="D2" s="2" t="s">
        <v>4</v>
      </c>
      <c r="E2" s="3" t="s">
        <v>5</v>
      </c>
      <c r="F2" s="3" t="s">
        <v>6</v>
      </c>
      <c r="G2" s="2" t="s">
        <v>7</v>
      </c>
      <c r="H2" s="4" t="s">
        <v>8</v>
      </c>
      <c r="I2" s="5" t="s">
        <v>9</v>
      </c>
    </row>
    <row r="3" spans="1:9" ht="12.75" customHeight="1" x14ac:dyDescent="0.2">
      <c r="A3" s="50"/>
      <c r="B3" s="59" t="s">
        <v>102</v>
      </c>
      <c r="C3" s="52" t="s">
        <v>28</v>
      </c>
      <c r="D3" s="53">
        <v>38</v>
      </c>
      <c r="E3" s="54">
        <f>IF(C20&lt;=25%,D20,MIN(E20:F20))</f>
        <v>608.12</v>
      </c>
      <c r="F3" s="54">
        <f>MIN(H3:H17)</f>
        <v>500</v>
      </c>
      <c r="G3" s="6" t="s">
        <v>147</v>
      </c>
      <c r="H3" s="7">
        <v>500</v>
      </c>
      <c r="I3" s="8" t="str">
        <f t="shared" ref="I3:I17" si="0">IF(H3="","",(IF($C$20&lt;25%,"N/A",IF(H3&lt;=($D$20+$A$20),H3,"Descartado"))))</f>
        <v>N/A</v>
      </c>
    </row>
    <row r="4" spans="1:9" x14ac:dyDescent="0.2">
      <c r="A4" s="50"/>
      <c r="B4" s="59"/>
      <c r="C4" s="52"/>
      <c r="D4" s="53"/>
      <c r="E4" s="54"/>
      <c r="F4" s="54"/>
      <c r="G4" s="6" t="s">
        <v>166</v>
      </c>
      <c r="H4" s="7">
        <v>548.99</v>
      </c>
      <c r="I4" s="8" t="str">
        <f t="shared" si="0"/>
        <v>N/A</v>
      </c>
    </row>
    <row r="5" spans="1:9" x14ac:dyDescent="0.2">
      <c r="A5" s="50"/>
      <c r="B5" s="59"/>
      <c r="C5" s="52"/>
      <c r="D5" s="53"/>
      <c r="E5" s="54"/>
      <c r="F5" s="54"/>
      <c r="G5" s="6" t="s">
        <v>167</v>
      </c>
      <c r="H5" s="7">
        <v>658.5</v>
      </c>
      <c r="I5" s="8" t="str">
        <f t="shared" si="0"/>
        <v>N/A</v>
      </c>
    </row>
    <row r="6" spans="1:9" x14ac:dyDescent="0.2">
      <c r="A6" s="50"/>
      <c r="B6" s="59"/>
      <c r="C6" s="52"/>
      <c r="D6" s="53"/>
      <c r="E6" s="54"/>
      <c r="F6" s="54"/>
      <c r="G6" s="6" t="s">
        <v>168</v>
      </c>
      <c r="H6" s="7">
        <v>725</v>
      </c>
      <c r="I6" s="8" t="str">
        <f t="shared" si="0"/>
        <v>N/A</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102.28289214233311</v>
      </c>
      <c r="B20" s="19">
        <f>COUNT(H3:H17)</f>
        <v>4</v>
      </c>
      <c r="C20" s="20">
        <f>IF(B20&lt;2,"N/A",(A20/D20))</f>
        <v>0.16819524459372018</v>
      </c>
      <c r="D20" s="21">
        <f>ROUND(AVERAGE(H3:H17),2)</f>
        <v>608.12</v>
      </c>
      <c r="E20" s="22" t="str">
        <f>IFERROR(ROUND(IF(B20&lt;2,"N/A",(IF(C20&lt;=25%,"N/A",AVERAGE(I3:I17)))),2),"N/A")</f>
        <v>N/A</v>
      </c>
      <c r="F20" s="22">
        <f>ROUND(MEDIAN(H3:H17),2)</f>
        <v>603.75</v>
      </c>
      <c r="G20" s="23" t="str">
        <f>INDEX(G3:G17,MATCH(H20,H3:H17,0))</f>
        <v>LAYOUT MOVEIS PARA ESCRITORIO LTDA</v>
      </c>
      <c r="H20" s="24">
        <f>MIN(H3:H17)</f>
        <v>500</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608.12</v>
      </c>
    </row>
    <row r="23" spans="1:11" x14ac:dyDescent="0.2">
      <c r="B23" s="25"/>
      <c r="C23" s="25"/>
      <c r="D23" s="56"/>
      <c r="E23" s="56"/>
      <c r="F23" s="33"/>
      <c r="G23" s="4" t="s">
        <v>18</v>
      </c>
      <c r="H23" s="24">
        <f>ROUND(H22,2)*D3</f>
        <v>23108.560000000001</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0" sqref="G10"/>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40</v>
      </c>
      <c r="B2" s="2" t="s">
        <v>2</v>
      </c>
      <c r="C2" s="2" t="s">
        <v>3</v>
      </c>
      <c r="D2" s="2" t="s">
        <v>4</v>
      </c>
      <c r="E2" s="3" t="s">
        <v>5</v>
      </c>
      <c r="F2" s="3" t="s">
        <v>6</v>
      </c>
      <c r="G2" s="2" t="s">
        <v>7</v>
      </c>
      <c r="H2" s="4" t="s">
        <v>8</v>
      </c>
      <c r="I2" s="5" t="s">
        <v>9</v>
      </c>
    </row>
    <row r="3" spans="1:9" ht="12.75" customHeight="1" x14ac:dyDescent="0.2">
      <c r="A3" s="50"/>
      <c r="B3" s="59" t="s">
        <v>103</v>
      </c>
      <c r="C3" s="52" t="s">
        <v>28</v>
      </c>
      <c r="D3" s="53">
        <v>60</v>
      </c>
      <c r="E3" s="54">
        <f>IF(C20&lt;=25%,D20,MIN(E20:F20))</f>
        <v>110</v>
      </c>
      <c r="F3" s="54">
        <f>MIN(H3:H17)</f>
        <v>96.666600000000003</v>
      </c>
      <c r="G3" s="6" t="s">
        <v>153</v>
      </c>
      <c r="H3" s="7">
        <v>96.666600000000003</v>
      </c>
      <c r="I3" s="8">
        <f t="shared" ref="I3:I17" si="0">IF(H3="","",(IF($C$20&lt;25%,"N/A",IF(H3&lt;=($D$20+$A$20),H3,"Descartado"))))</f>
        <v>96.666600000000003</v>
      </c>
    </row>
    <row r="4" spans="1:9" x14ac:dyDescent="0.2">
      <c r="A4" s="50"/>
      <c r="B4" s="59"/>
      <c r="C4" s="52"/>
      <c r="D4" s="53"/>
      <c r="E4" s="54"/>
      <c r="F4" s="54"/>
      <c r="G4" s="6" t="s">
        <v>142</v>
      </c>
      <c r="H4" s="7">
        <v>96.93</v>
      </c>
      <c r="I4" s="8">
        <f t="shared" si="0"/>
        <v>96.93</v>
      </c>
    </row>
    <row r="5" spans="1:9" x14ac:dyDescent="0.2">
      <c r="A5" s="50"/>
      <c r="B5" s="59"/>
      <c r="C5" s="52"/>
      <c r="D5" s="53"/>
      <c r="E5" s="54"/>
      <c r="F5" s="54"/>
      <c r="G5" s="6" t="s">
        <v>128</v>
      </c>
      <c r="H5" s="7">
        <v>105</v>
      </c>
      <c r="I5" s="8">
        <f t="shared" si="0"/>
        <v>105</v>
      </c>
    </row>
    <row r="6" spans="1:9" x14ac:dyDescent="0.2">
      <c r="A6" s="50"/>
      <c r="B6" s="59"/>
      <c r="C6" s="52"/>
      <c r="D6" s="53"/>
      <c r="E6" s="54"/>
      <c r="F6" s="54"/>
      <c r="G6" s="6" t="s">
        <v>146</v>
      </c>
      <c r="H6" s="7">
        <v>110</v>
      </c>
      <c r="I6" s="8">
        <f t="shared" si="0"/>
        <v>110</v>
      </c>
    </row>
    <row r="7" spans="1:9" x14ac:dyDescent="0.2">
      <c r="A7" s="50"/>
      <c r="B7" s="59"/>
      <c r="C7" s="52"/>
      <c r="D7" s="53"/>
      <c r="E7" s="54"/>
      <c r="F7" s="54"/>
      <c r="G7" s="6" t="s">
        <v>154</v>
      </c>
      <c r="H7" s="7">
        <v>125</v>
      </c>
      <c r="I7" s="8">
        <f t="shared" si="0"/>
        <v>125</v>
      </c>
    </row>
    <row r="8" spans="1:9" x14ac:dyDescent="0.2">
      <c r="A8" s="50"/>
      <c r="B8" s="59"/>
      <c r="C8" s="52"/>
      <c r="D8" s="53"/>
      <c r="E8" s="54"/>
      <c r="F8" s="54"/>
      <c r="G8" s="6" t="s">
        <v>155</v>
      </c>
      <c r="H8" s="7">
        <v>161.22999999999999</v>
      </c>
      <c r="I8" s="8">
        <f t="shared" si="0"/>
        <v>161.22999999999999</v>
      </c>
    </row>
    <row r="9" spans="1:9" x14ac:dyDescent="0.2">
      <c r="A9" s="50"/>
      <c r="B9" s="59"/>
      <c r="C9" s="52"/>
      <c r="D9" s="53"/>
      <c r="E9" s="54"/>
      <c r="F9" s="54"/>
      <c r="G9" s="6" t="s">
        <v>156</v>
      </c>
      <c r="H9" s="7">
        <v>600</v>
      </c>
      <c r="I9" s="8" t="str">
        <f t="shared" si="0"/>
        <v>Descartado</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184.37919399080539</v>
      </c>
      <c r="B20" s="19">
        <f>COUNT(H3:H17)</f>
        <v>7</v>
      </c>
      <c r="C20" s="20">
        <f>IF(B20&lt;2,"N/A",(A20/D20))</f>
        <v>0.99675204882044222</v>
      </c>
      <c r="D20" s="21">
        <f>ROUND(AVERAGE(H3:H17),2)</f>
        <v>184.98</v>
      </c>
      <c r="E20" s="22">
        <f>IFERROR(ROUND(IF(B20&lt;2,"N/A",(IF(C20&lt;=25%,"N/A",AVERAGE(I3:I17)))),2),"N/A")</f>
        <v>115.8</v>
      </c>
      <c r="F20" s="22">
        <f>ROUND(MEDIAN(H3:H17),2)</f>
        <v>110</v>
      </c>
      <c r="G20" s="23" t="str">
        <f>INDEX(G3:G17,MATCH(H20,H3:H17,0))</f>
        <v>L S SANTOS PRODUTOS E SERVICOS</v>
      </c>
      <c r="H20" s="24">
        <f>MIN(H3:H17)</f>
        <v>96.666600000000003</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110</v>
      </c>
    </row>
    <row r="23" spans="1:11" x14ac:dyDescent="0.2">
      <c r="B23" s="25"/>
      <c r="C23" s="25"/>
      <c r="D23" s="56"/>
      <c r="E23" s="56"/>
      <c r="F23" s="33"/>
      <c r="G23" s="4" t="s">
        <v>18</v>
      </c>
      <c r="H23" s="24">
        <f>ROUND(H22,2)*D3</f>
        <v>6600</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41</v>
      </c>
      <c r="B2" s="2" t="s">
        <v>2</v>
      </c>
      <c r="C2" s="2" t="s">
        <v>3</v>
      </c>
      <c r="D2" s="2" t="s">
        <v>4</v>
      </c>
      <c r="E2" s="3" t="s">
        <v>5</v>
      </c>
      <c r="F2" s="3" t="s">
        <v>6</v>
      </c>
      <c r="G2" s="2" t="s">
        <v>7</v>
      </c>
      <c r="H2" s="4" t="s">
        <v>8</v>
      </c>
      <c r="I2" s="5" t="s">
        <v>9</v>
      </c>
    </row>
    <row r="3" spans="1:9" ht="12.75" customHeight="1" x14ac:dyDescent="0.2">
      <c r="A3" s="50"/>
      <c r="B3" s="59" t="s">
        <v>104</v>
      </c>
      <c r="C3" s="52" t="s">
        <v>28</v>
      </c>
      <c r="D3" s="53">
        <f>60*0.25</f>
        <v>15</v>
      </c>
      <c r="E3" s="54">
        <f>IF(C20&lt;=25%,D20,MIN(E20:F20))</f>
        <v>2522.62</v>
      </c>
      <c r="F3" s="54">
        <f>MIN(H3:H17)</f>
        <v>1403.45</v>
      </c>
      <c r="G3" s="6" t="s">
        <v>180</v>
      </c>
      <c r="H3" s="7">
        <v>4102.41</v>
      </c>
      <c r="I3" s="8">
        <f t="shared" ref="I3:I17" si="0">IF(H3="","",(IF($C$20&lt;25%,"N/A",IF(H3&lt;=($D$20+$A$20),H3,"Descartado"))))</f>
        <v>4102.41</v>
      </c>
    </row>
    <row r="4" spans="1:9" x14ac:dyDescent="0.2">
      <c r="A4" s="50"/>
      <c r="B4" s="59"/>
      <c r="C4" s="52"/>
      <c r="D4" s="53"/>
      <c r="E4" s="54"/>
      <c r="F4" s="54"/>
      <c r="G4" s="6" t="s">
        <v>181</v>
      </c>
      <c r="H4" s="7">
        <v>7870.95</v>
      </c>
      <c r="I4" s="8" t="str">
        <f t="shared" si="0"/>
        <v>Descartado</v>
      </c>
    </row>
    <row r="5" spans="1:9" x14ac:dyDescent="0.2">
      <c r="A5" s="50"/>
      <c r="B5" s="59"/>
      <c r="C5" s="52"/>
      <c r="D5" s="53"/>
      <c r="E5" s="54"/>
      <c r="F5" s="54"/>
      <c r="G5" s="6" t="s">
        <v>182</v>
      </c>
      <c r="H5" s="7">
        <v>2062</v>
      </c>
      <c r="I5" s="8">
        <f t="shared" si="0"/>
        <v>2062</v>
      </c>
    </row>
    <row r="6" spans="1:9" x14ac:dyDescent="0.2">
      <c r="A6" s="50"/>
      <c r="B6" s="59"/>
      <c r="C6" s="52"/>
      <c r="D6" s="53"/>
      <c r="E6" s="54"/>
      <c r="F6" s="54"/>
      <c r="G6" s="6" t="s">
        <v>183</v>
      </c>
      <c r="H6" s="7">
        <v>1403.45</v>
      </c>
      <c r="I6" s="8">
        <f t="shared" si="0"/>
        <v>1403.45</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2910.5511539383156</v>
      </c>
      <c r="B20" s="19">
        <f>COUNT(H3:H17)</f>
        <v>4</v>
      </c>
      <c r="C20" s="20">
        <f>IF(B20&lt;2,"N/A",(A20/D20))</f>
        <v>0.75408740418641751</v>
      </c>
      <c r="D20" s="21">
        <f>ROUND(AVERAGE(H3:H17),2)</f>
        <v>3859.7</v>
      </c>
      <c r="E20" s="22">
        <f>IFERROR(ROUND(IF(B20&lt;2,"N/A",(IF(C20&lt;=25%,"N/A",AVERAGE(I3:I17)))),2),"N/A")</f>
        <v>2522.62</v>
      </c>
      <c r="F20" s="22">
        <f>ROUND(MEDIAN(H3:H17),2)</f>
        <v>3082.21</v>
      </c>
      <c r="G20" s="23" t="str">
        <f>INDEX(G3:G17,MATCH(H20,H3:H17,0))</f>
        <v>VICEL MOVEIS DE AÇO</v>
      </c>
      <c r="H20" s="24">
        <f>MIN(H3:H17)</f>
        <v>1403.45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2522.62</v>
      </c>
    </row>
    <row r="23" spans="1:11" x14ac:dyDescent="0.2">
      <c r="B23" s="25"/>
      <c r="C23" s="25"/>
      <c r="D23" s="56"/>
      <c r="E23" s="56"/>
      <c r="F23" s="33"/>
      <c r="G23" s="4" t="s">
        <v>18</v>
      </c>
      <c r="H23" s="24">
        <f>ROUND(H22,2)*D3</f>
        <v>37839.299999999996</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42</v>
      </c>
      <c r="B2" s="2" t="s">
        <v>2</v>
      </c>
      <c r="C2" s="2" t="s">
        <v>3</v>
      </c>
      <c r="D2" s="2" t="s">
        <v>4</v>
      </c>
      <c r="E2" s="3" t="s">
        <v>5</v>
      </c>
      <c r="F2" s="3" t="s">
        <v>6</v>
      </c>
      <c r="G2" s="2" t="s">
        <v>7</v>
      </c>
      <c r="H2" s="4" t="s">
        <v>8</v>
      </c>
      <c r="I2" s="5" t="s">
        <v>9</v>
      </c>
    </row>
    <row r="3" spans="1:9" ht="12.75" customHeight="1" x14ac:dyDescent="0.2">
      <c r="A3" s="50"/>
      <c r="B3" s="59" t="s">
        <v>105</v>
      </c>
      <c r="C3" s="52" t="s">
        <v>28</v>
      </c>
      <c r="D3" s="53">
        <v>10</v>
      </c>
      <c r="E3" s="54">
        <f>IF(C20&lt;=25%,D20,MIN(E20:F20))</f>
        <v>649.29999999999995</v>
      </c>
      <c r="F3" s="54">
        <f>MIN(H3:H17)</f>
        <v>215.97</v>
      </c>
      <c r="G3" s="6" t="s">
        <v>160</v>
      </c>
      <c r="H3" s="7">
        <v>215.97</v>
      </c>
      <c r="I3" s="8">
        <f t="shared" ref="I3:I17" si="0">IF(H3="","",(IF($C$20&lt;25%,"N/A",IF(H3&lt;=($D$20+$A$20),H3,"Descartado"))))</f>
        <v>215.97</v>
      </c>
    </row>
    <row r="4" spans="1:9" x14ac:dyDescent="0.2">
      <c r="A4" s="50"/>
      <c r="B4" s="59"/>
      <c r="C4" s="52"/>
      <c r="D4" s="53"/>
      <c r="E4" s="54"/>
      <c r="F4" s="54"/>
      <c r="G4" s="6" t="s">
        <v>189</v>
      </c>
      <c r="H4" s="7">
        <v>881.25</v>
      </c>
      <c r="I4" s="8">
        <f t="shared" si="0"/>
        <v>881.25</v>
      </c>
    </row>
    <row r="5" spans="1:9" x14ac:dyDescent="0.2">
      <c r="A5" s="50"/>
      <c r="B5" s="59"/>
      <c r="C5" s="52"/>
      <c r="D5" s="53"/>
      <c r="E5" s="54"/>
      <c r="F5" s="54"/>
      <c r="G5" s="6" t="s">
        <v>31</v>
      </c>
      <c r="H5" s="7">
        <v>710</v>
      </c>
      <c r="I5" s="8">
        <f t="shared" si="0"/>
        <v>710</v>
      </c>
    </row>
    <row r="6" spans="1:9" x14ac:dyDescent="0.2">
      <c r="A6" s="50"/>
      <c r="B6" s="59"/>
      <c r="C6" s="52"/>
      <c r="D6" s="53"/>
      <c r="E6" s="54"/>
      <c r="F6" s="54"/>
      <c r="G6" s="6" t="s">
        <v>190</v>
      </c>
      <c r="H6" s="7">
        <v>789.99</v>
      </c>
      <c r="I6" s="8">
        <f t="shared" si="0"/>
        <v>789.99</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297.23944190668908</v>
      </c>
      <c r="B20" s="19">
        <f>COUNT(H3:H17)</f>
        <v>4</v>
      </c>
      <c r="C20" s="20">
        <f>IF(B20&lt;2,"N/A",(A20/D20))</f>
        <v>0.45778444772322363</v>
      </c>
      <c r="D20" s="21">
        <f>ROUND(AVERAGE(H3:H17),2)</f>
        <v>649.29999999999995</v>
      </c>
      <c r="E20" s="22">
        <f>IFERROR(ROUND(IF(B20&lt;2,"N/A",(IF(C20&lt;=25%,"N/A",AVERAGE(I3:I17)))),2),"N/A")</f>
        <v>649.29999999999995</v>
      </c>
      <c r="F20" s="22">
        <f>ROUND(MEDIAN(H3:H17),2)</f>
        <v>750</v>
      </c>
      <c r="G20" s="23" t="str">
        <f>INDEX(G3:G17,MATCH(H20,H3:H17,0))</f>
        <v>DANI BRINDES, UNIFORMES E EPIS EIRELI</v>
      </c>
      <c r="H20" s="24">
        <f>MIN(H3:H17)</f>
        <v>215.97</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649.29999999999995</v>
      </c>
    </row>
    <row r="23" spans="1:11" x14ac:dyDescent="0.2">
      <c r="B23" s="25"/>
      <c r="C23" s="25"/>
      <c r="D23" s="56"/>
      <c r="E23" s="56"/>
      <c r="F23" s="33"/>
      <c r="G23" s="4" t="s">
        <v>18</v>
      </c>
      <c r="H23" s="24">
        <f>ROUND(H22,2)*D3</f>
        <v>6493</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B18" sqref="B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44</v>
      </c>
      <c r="B2" s="2" t="s">
        <v>2</v>
      </c>
      <c r="C2" s="2" t="s">
        <v>3</v>
      </c>
      <c r="D2" s="2" t="s">
        <v>4</v>
      </c>
      <c r="E2" s="3" t="s">
        <v>5</v>
      </c>
      <c r="F2" s="3" t="s">
        <v>6</v>
      </c>
      <c r="G2" s="2" t="s">
        <v>7</v>
      </c>
      <c r="H2" s="4" t="s">
        <v>8</v>
      </c>
      <c r="I2" s="5" t="s">
        <v>9</v>
      </c>
    </row>
    <row r="3" spans="1:9" ht="12.75" customHeight="1" x14ac:dyDescent="0.2">
      <c r="A3" s="50"/>
      <c r="B3" s="59" t="s">
        <v>186</v>
      </c>
      <c r="C3" s="52" t="s">
        <v>28</v>
      </c>
      <c r="D3" s="53">
        <v>20</v>
      </c>
      <c r="E3" s="54">
        <f>IF(C20&lt;=25%,D20,MIN(E20:F20))</f>
        <v>1982.72</v>
      </c>
      <c r="F3" s="54">
        <f>MIN(H3:H17)</f>
        <v>1278.74</v>
      </c>
      <c r="G3" s="6" t="s">
        <v>169</v>
      </c>
      <c r="H3" s="7">
        <v>1278.74</v>
      </c>
      <c r="I3" s="8">
        <f t="shared" ref="I3:I17" si="0">IF(H3="","",(IF($C$20&lt;25%,"N/A",IF(H3&lt;=($D$20+$A$20),H3,"Descartado"))))</f>
        <v>1278.74</v>
      </c>
    </row>
    <row r="4" spans="1:9" x14ac:dyDescent="0.2">
      <c r="A4" s="50"/>
      <c r="B4" s="59"/>
      <c r="C4" s="52"/>
      <c r="D4" s="53"/>
      <c r="E4" s="54"/>
      <c r="F4" s="54"/>
      <c r="G4" s="6" t="s">
        <v>147</v>
      </c>
      <c r="H4" s="7">
        <v>2250</v>
      </c>
      <c r="I4" s="8">
        <f t="shared" si="0"/>
        <v>2250</v>
      </c>
    </row>
    <row r="5" spans="1:9" x14ac:dyDescent="0.2">
      <c r="A5" s="50"/>
      <c r="B5" s="59"/>
      <c r="C5" s="52"/>
      <c r="D5" s="53"/>
      <c r="E5" s="54"/>
      <c r="F5" s="54"/>
      <c r="G5" s="6" t="s">
        <v>165</v>
      </c>
      <c r="H5" s="7">
        <v>2419.42</v>
      </c>
      <c r="I5" s="8">
        <f t="shared" si="0"/>
        <v>2419.42</v>
      </c>
    </row>
    <row r="6" spans="1:9" x14ac:dyDescent="0.2">
      <c r="A6" s="50"/>
      <c r="B6" s="59"/>
      <c r="C6" s="52"/>
      <c r="D6" s="53"/>
      <c r="E6" s="54"/>
      <c r="F6" s="54"/>
      <c r="G6" s="6" t="s">
        <v>170</v>
      </c>
      <c r="H6" s="7">
        <v>3028</v>
      </c>
      <c r="I6" s="8" t="str">
        <f t="shared" si="0"/>
        <v>Descartado</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725.07264868195637</v>
      </c>
      <c r="B20" s="19">
        <f>COUNT(H3:H17)</f>
        <v>4</v>
      </c>
      <c r="C20" s="20">
        <f>IF(B20&lt;2,"N/A",(A20/D20))</f>
        <v>0.32311039405801872</v>
      </c>
      <c r="D20" s="21">
        <f>ROUND(AVERAGE(H3:H17),2)</f>
        <v>2244.04</v>
      </c>
      <c r="E20" s="22">
        <f>IFERROR(ROUND(IF(B20&lt;2,"N/A",(IF(C20&lt;=25%,"N/A",AVERAGE(I3:I17)))),2),"N/A")</f>
        <v>1982.72</v>
      </c>
      <c r="F20" s="22">
        <f>ROUND(MEDIAN(H3:H17),2)</f>
        <v>2334.71</v>
      </c>
      <c r="G20" s="23" t="str">
        <f>INDEX(G3:G17,MATCH(H20,H3:H17,0))</f>
        <v>E DIAS DE OLIVEIRA LTDA</v>
      </c>
      <c r="H20" s="24">
        <f>MIN(H3:H17)</f>
        <v>1278.74</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1982.72</v>
      </c>
    </row>
    <row r="23" spans="1:11" x14ac:dyDescent="0.2">
      <c r="B23" s="25"/>
      <c r="C23" s="25"/>
      <c r="D23" s="56"/>
      <c r="E23" s="56"/>
      <c r="F23" s="33"/>
      <c r="G23" s="4" t="s">
        <v>18</v>
      </c>
      <c r="H23" s="24">
        <f>ROUND(H22,2)*D3</f>
        <v>39654.400000000001</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B18" sqref="B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45</v>
      </c>
      <c r="B2" s="2" t="s">
        <v>2</v>
      </c>
      <c r="C2" s="2" t="s">
        <v>3</v>
      </c>
      <c r="D2" s="2" t="s">
        <v>4</v>
      </c>
      <c r="E2" s="3" t="s">
        <v>5</v>
      </c>
      <c r="F2" s="3" t="s">
        <v>6</v>
      </c>
      <c r="G2" s="2" t="s">
        <v>7</v>
      </c>
      <c r="H2" s="4" t="s">
        <v>8</v>
      </c>
      <c r="I2" s="5" t="s">
        <v>9</v>
      </c>
    </row>
    <row r="3" spans="1:9" ht="12.75" customHeight="1" x14ac:dyDescent="0.2">
      <c r="A3" s="50"/>
      <c r="B3" s="59" t="s">
        <v>187</v>
      </c>
      <c r="C3" s="52" t="s">
        <v>28</v>
      </c>
      <c r="D3" s="53">
        <v>20</v>
      </c>
      <c r="E3" s="54">
        <f>IF(C20&lt;=25%,D20,MIN(E20:F20))</f>
        <v>1600.27</v>
      </c>
      <c r="F3" s="54">
        <f>MIN(H3:H17)</f>
        <v>990</v>
      </c>
      <c r="G3" s="6" t="s">
        <v>132</v>
      </c>
      <c r="H3" s="7">
        <v>990</v>
      </c>
      <c r="I3" s="8">
        <f t="shared" ref="I3:I17" si="0">IF(H3="","",(IF($C$20&lt;25%,"N/A",IF(H3&lt;=($D$20+$A$20),H3,"Descartado"))))</f>
        <v>990</v>
      </c>
    </row>
    <row r="4" spans="1:9" x14ac:dyDescent="0.2">
      <c r="A4" s="50"/>
      <c r="B4" s="59"/>
      <c r="C4" s="52"/>
      <c r="D4" s="53"/>
      <c r="E4" s="54"/>
      <c r="F4" s="54"/>
      <c r="G4" s="6" t="s">
        <v>171</v>
      </c>
      <c r="H4" s="7">
        <v>1099.99</v>
      </c>
      <c r="I4" s="8">
        <f t="shared" si="0"/>
        <v>1099.99</v>
      </c>
    </row>
    <row r="5" spans="1:9" x14ac:dyDescent="0.2">
      <c r="A5" s="50"/>
      <c r="B5" s="59"/>
      <c r="C5" s="52"/>
      <c r="D5" s="53"/>
      <c r="E5" s="54"/>
      <c r="F5" s="54"/>
      <c r="G5" s="6" t="s">
        <v>172</v>
      </c>
      <c r="H5" s="7">
        <v>1240</v>
      </c>
      <c r="I5" s="8">
        <f t="shared" si="0"/>
        <v>1240</v>
      </c>
    </row>
    <row r="6" spans="1:9" x14ac:dyDescent="0.2">
      <c r="A6" s="50"/>
      <c r="B6" s="59"/>
      <c r="C6" s="52"/>
      <c r="D6" s="53"/>
      <c r="E6" s="54"/>
      <c r="F6" s="54"/>
      <c r="G6" s="6" t="s">
        <v>173</v>
      </c>
      <c r="H6" s="7">
        <v>1489.6</v>
      </c>
      <c r="I6" s="8">
        <f t="shared" si="0"/>
        <v>1489.6</v>
      </c>
    </row>
    <row r="7" spans="1:9" x14ac:dyDescent="0.2">
      <c r="A7" s="50"/>
      <c r="B7" s="59"/>
      <c r="C7" s="52"/>
      <c r="D7" s="53"/>
      <c r="E7" s="54"/>
      <c r="F7" s="54"/>
      <c r="G7" s="6" t="s">
        <v>174</v>
      </c>
      <c r="H7" s="7">
        <v>1932</v>
      </c>
      <c r="I7" s="8">
        <f t="shared" si="0"/>
        <v>1932</v>
      </c>
    </row>
    <row r="8" spans="1:9" x14ac:dyDescent="0.2">
      <c r="A8" s="50"/>
      <c r="B8" s="59"/>
      <c r="C8" s="52"/>
      <c r="D8" s="53"/>
      <c r="E8" s="54"/>
      <c r="F8" s="54"/>
      <c r="G8" s="6" t="s">
        <v>147</v>
      </c>
      <c r="H8" s="7">
        <v>2850</v>
      </c>
      <c r="I8" s="8">
        <f t="shared" si="0"/>
        <v>2850</v>
      </c>
    </row>
    <row r="9" spans="1:9" x14ac:dyDescent="0.2">
      <c r="A9" s="50"/>
      <c r="B9" s="59"/>
      <c r="C9" s="52"/>
      <c r="D9" s="53"/>
      <c r="E9" s="54"/>
      <c r="F9" s="54"/>
      <c r="G9" s="6" t="s">
        <v>166</v>
      </c>
      <c r="H9" s="7">
        <v>3499.99</v>
      </c>
      <c r="I9" s="8" t="str">
        <f t="shared" si="0"/>
        <v>Descartado</v>
      </c>
    </row>
    <row r="10" spans="1:9" x14ac:dyDescent="0.2">
      <c r="A10" s="50"/>
      <c r="B10" s="59"/>
      <c r="C10" s="52"/>
      <c r="D10" s="53"/>
      <c r="E10" s="54"/>
      <c r="F10" s="54"/>
      <c r="G10" s="6" t="s">
        <v>168</v>
      </c>
      <c r="H10" s="7">
        <v>4224</v>
      </c>
      <c r="I10" s="8" t="str">
        <f t="shared" si="0"/>
        <v>Descartado</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1217.248118160092</v>
      </c>
      <c r="B20" s="19">
        <f>COUNT(H3:H17)</f>
        <v>8</v>
      </c>
      <c r="C20" s="20">
        <f>IF(B20&lt;2,"N/A",(A20/D20))</f>
        <v>0.56205758792080718</v>
      </c>
      <c r="D20" s="21">
        <f>ROUND(AVERAGE(H3:H17),2)</f>
        <v>2165.6999999999998</v>
      </c>
      <c r="E20" s="22">
        <f>IFERROR(ROUND(IF(B20&lt;2,"N/A",(IF(C20&lt;=25%,"N/A",AVERAGE(I3:I17)))),2),"N/A")</f>
        <v>1600.27</v>
      </c>
      <c r="F20" s="22">
        <f>ROUND(MEDIAN(H3:H17),2)</f>
        <v>1710.8</v>
      </c>
      <c r="G20" s="23" t="str">
        <f>INDEX(G3:G17,MATCH(H20,H3:H17,0))</f>
        <v>LIDIANE SENA DE MORAIS</v>
      </c>
      <c r="H20" s="24">
        <f>MIN(H3:H17)</f>
        <v>990</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1600.27</v>
      </c>
    </row>
    <row r="23" spans="1:11" x14ac:dyDescent="0.2">
      <c r="B23" s="25"/>
      <c r="C23" s="25"/>
      <c r="D23" s="56"/>
      <c r="E23" s="56"/>
      <c r="F23" s="33"/>
      <c r="G23" s="4" t="s">
        <v>18</v>
      </c>
      <c r="H23" s="24">
        <f>ROUND(H22,2)*D3</f>
        <v>32005.4</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B18" sqref="B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46</v>
      </c>
      <c r="B2" s="2" t="s">
        <v>2</v>
      </c>
      <c r="C2" s="2" t="s">
        <v>3</v>
      </c>
      <c r="D2" s="2" t="s">
        <v>4</v>
      </c>
      <c r="E2" s="3" t="s">
        <v>5</v>
      </c>
      <c r="F2" s="3" t="s">
        <v>6</v>
      </c>
      <c r="G2" s="2" t="s">
        <v>7</v>
      </c>
      <c r="H2" s="4" t="s">
        <v>8</v>
      </c>
      <c r="I2" s="5" t="s">
        <v>9</v>
      </c>
    </row>
    <row r="3" spans="1:9" ht="12.75" customHeight="1" x14ac:dyDescent="0.2">
      <c r="A3" s="50"/>
      <c r="B3" s="51" t="s">
        <v>188</v>
      </c>
      <c r="C3" s="52" t="s">
        <v>28</v>
      </c>
      <c r="D3" s="53">
        <v>20</v>
      </c>
      <c r="E3" s="54">
        <f>IF(C20&lt;=25%,D20,MIN(E20:F20))</f>
        <v>1406.41</v>
      </c>
      <c r="F3" s="54">
        <f>MIN(H3:H17)</f>
        <v>1000</v>
      </c>
      <c r="G3" s="6" t="s">
        <v>161</v>
      </c>
      <c r="H3" s="7">
        <v>1000</v>
      </c>
      <c r="I3" s="8" t="str">
        <f t="shared" ref="I3:I17" si="0">IF(H3="","",(IF($C$20&lt;25%,"N/A",IF(H3&lt;=($D$20+$A$20),H3,"Descartado"))))</f>
        <v>N/A</v>
      </c>
    </row>
    <row r="4" spans="1:9" x14ac:dyDescent="0.2">
      <c r="A4" s="50"/>
      <c r="B4" s="51"/>
      <c r="C4" s="52"/>
      <c r="D4" s="53"/>
      <c r="E4" s="54"/>
      <c r="F4" s="54"/>
      <c r="G4" s="6" t="s">
        <v>162</v>
      </c>
      <c r="H4" s="7">
        <v>1349.81</v>
      </c>
      <c r="I4" s="8" t="str">
        <f t="shared" si="0"/>
        <v>N/A</v>
      </c>
    </row>
    <row r="5" spans="1:9" x14ac:dyDescent="0.2">
      <c r="A5" s="50"/>
      <c r="B5" s="51"/>
      <c r="C5" s="52"/>
      <c r="D5" s="53"/>
      <c r="E5" s="54"/>
      <c r="F5" s="54"/>
      <c r="G5" s="6" t="s">
        <v>152</v>
      </c>
      <c r="H5" s="7">
        <v>1354</v>
      </c>
      <c r="I5" s="8" t="str">
        <f t="shared" si="0"/>
        <v>N/A</v>
      </c>
    </row>
    <row r="6" spans="1:9" x14ac:dyDescent="0.2">
      <c r="A6" s="50"/>
      <c r="B6" s="51"/>
      <c r="C6" s="52"/>
      <c r="D6" s="53"/>
      <c r="E6" s="54"/>
      <c r="F6" s="54"/>
      <c r="G6" s="6" t="s">
        <v>163</v>
      </c>
      <c r="H6" s="7">
        <v>1400</v>
      </c>
      <c r="I6" s="8" t="str">
        <f t="shared" si="0"/>
        <v>N/A</v>
      </c>
    </row>
    <row r="7" spans="1:9" x14ac:dyDescent="0.2">
      <c r="A7" s="50"/>
      <c r="B7" s="51"/>
      <c r="C7" s="52"/>
      <c r="D7" s="53"/>
      <c r="E7" s="54"/>
      <c r="F7" s="54"/>
      <c r="G7" s="6" t="s">
        <v>164</v>
      </c>
      <c r="H7" s="7">
        <v>1569.8</v>
      </c>
      <c r="I7" s="8" t="str">
        <f t="shared" si="0"/>
        <v>N/A</v>
      </c>
    </row>
    <row r="8" spans="1:9" x14ac:dyDescent="0.2">
      <c r="A8" s="50"/>
      <c r="B8" s="51"/>
      <c r="C8" s="52"/>
      <c r="D8" s="53"/>
      <c r="E8" s="54"/>
      <c r="F8" s="54"/>
      <c r="G8" s="6" t="s">
        <v>165</v>
      </c>
      <c r="H8" s="7">
        <v>1764.82</v>
      </c>
      <c r="I8" s="8" t="str">
        <f t="shared" si="0"/>
        <v>N/A</v>
      </c>
    </row>
    <row r="9" spans="1:9" x14ac:dyDescent="0.2">
      <c r="A9" s="50"/>
      <c r="B9" s="51"/>
      <c r="C9" s="52"/>
      <c r="D9" s="53"/>
      <c r="E9" s="54"/>
      <c r="F9" s="54"/>
      <c r="G9" s="6"/>
      <c r="H9" s="7"/>
      <c r="I9" s="8" t="str">
        <f t="shared" si="0"/>
        <v/>
      </c>
    </row>
    <row r="10" spans="1:9" x14ac:dyDescent="0.2">
      <c r="A10" s="50"/>
      <c r="B10" s="51"/>
      <c r="C10" s="52"/>
      <c r="D10" s="53"/>
      <c r="E10" s="54"/>
      <c r="F10" s="54"/>
      <c r="G10" s="6"/>
      <c r="H10" s="7"/>
      <c r="I10" s="8" t="str">
        <f t="shared" si="0"/>
        <v/>
      </c>
    </row>
    <row r="11" spans="1:9" x14ac:dyDescent="0.2">
      <c r="A11" s="50"/>
      <c r="B11" s="51"/>
      <c r="C11" s="52"/>
      <c r="D11" s="53"/>
      <c r="E11" s="54"/>
      <c r="F11" s="54"/>
      <c r="G11" s="6"/>
      <c r="H11" s="7"/>
      <c r="I11" s="8" t="str">
        <f t="shared" si="0"/>
        <v/>
      </c>
    </row>
    <row r="12" spans="1:9" x14ac:dyDescent="0.2">
      <c r="A12" s="50"/>
      <c r="B12" s="51"/>
      <c r="C12" s="52"/>
      <c r="D12" s="53"/>
      <c r="E12" s="54"/>
      <c r="F12" s="54"/>
      <c r="G12" s="6"/>
      <c r="H12" s="7"/>
      <c r="I12" s="8" t="str">
        <f t="shared" si="0"/>
        <v/>
      </c>
    </row>
    <row r="13" spans="1:9" x14ac:dyDescent="0.2">
      <c r="A13" s="50"/>
      <c r="B13" s="51"/>
      <c r="C13" s="52"/>
      <c r="D13" s="53"/>
      <c r="E13" s="54"/>
      <c r="F13" s="54"/>
      <c r="G13" s="6"/>
      <c r="H13" s="7"/>
      <c r="I13" s="8" t="str">
        <f t="shared" si="0"/>
        <v/>
      </c>
    </row>
    <row r="14" spans="1:9" x14ac:dyDescent="0.2">
      <c r="A14" s="50"/>
      <c r="B14" s="51"/>
      <c r="C14" s="52"/>
      <c r="D14" s="53"/>
      <c r="E14" s="54"/>
      <c r="F14" s="54"/>
      <c r="G14" s="6"/>
      <c r="H14" s="7"/>
      <c r="I14" s="8" t="str">
        <f t="shared" si="0"/>
        <v/>
      </c>
    </row>
    <row r="15" spans="1:9" x14ac:dyDescent="0.2">
      <c r="A15" s="50"/>
      <c r="B15" s="51"/>
      <c r="C15" s="52"/>
      <c r="D15" s="53"/>
      <c r="E15" s="54"/>
      <c r="F15" s="54"/>
      <c r="G15" s="6"/>
      <c r="H15" s="7"/>
      <c r="I15" s="8" t="str">
        <f t="shared" si="0"/>
        <v/>
      </c>
    </row>
    <row r="16" spans="1:9" x14ac:dyDescent="0.2">
      <c r="A16" s="50"/>
      <c r="B16" s="51"/>
      <c r="C16" s="52"/>
      <c r="D16" s="53"/>
      <c r="E16" s="54"/>
      <c r="F16" s="54"/>
      <c r="G16" s="6"/>
      <c r="H16" s="7"/>
      <c r="I16" s="8" t="str">
        <f t="shared" si="0"/>
        <v/>
      </c>
    </row>
    <row r="17" spans="1:11" x14ac:dyDescent="0.2">
      <c r="A17" s="50"/>
      <c r="B17" s="51"/>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255.46606989970226</v>
      </c>
      <c r="B20" s="19">
        <f>COUNT(H3:H17)</f>
        <v>6</v>
      </c>
      <c r="C20" s="20">
        <f>IF(B20&lt;2,"N/A",(A20/D20))</f>
        <v>0.181644093756232</v>
      </c>
      <c r="D20" s="21">
        <f>ROUND(AVERAGE(H3:H17),2)</f>
        <v>1406.41</v>
      </c>
      <c r="E20" s="22" t="str">
        <f>IFERROR(ROUND(IF(B20&lt;2,"N/A",(IF(C20&lt;=25%,"N/A",AVERAGE(I3:I17)))),2),"N/A")</f>
        <v>N/A</v>
      </c>
      <c r="F20" s="22">
        <f>ROUND(MEDIAN(H3:H17),2)</f>
        <v>1377</v>
      </c>
      <c r="G20" s="23" t="str">
        <f>INDEX(G3:G17,MATCH(H20,H3:H17,0))</f>
        <v>JOAO CARLOS LOPES OKUYAMA</v>
      </c>
      <c r="H20" s="24">
        <f>MIN(H3:H17)</f>
        <v>1000</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1406.41</v>
      </c>
    </row>
    <row r="23" spans="1:11" x14ac:dyDescent="0.2">
      <c r="B23" s="25"/>
      <c r="C23" s="25"/>
      <c r="D23" s="56"/>
      <c r="E23" s="56"/>
      <c r="F23" s="33"/>
      <c r="G23" s="4" t="s">
        <v>18</v>
      </c>
      <c r="H23" s="24">
        <f>ROUND(H22,2)*D3</f>
        <v>28128.2</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26</v>
      </c>
      <c r="B2" s="2" t="s">
        <v>2</v>
      </c>
      <c r="C2" s="2" t="s">
        <v>3</v>
      </c>
      <c r="D2" s="2" t="s">
        <v>4</v>
      </c>
      <c r="E2" s="3" t="s">
        <v>5</v>
      </c>
      <c r="F2" s="3" t="s">
        <v>6</v>
      </c>
      <c r="G2" s="2" t="s">
        <v>7</v>
      </c>
      <c r="H2" s="4" t="s">
        <v>8</v>
      </c>
      <c r="I2" s="5" t="s">
        <v>9</v>
      </c>
    </row>
    <row r="3" spans="1:9" ht="12.75" customHeight="1" x14ac:dyDescent="0.2">
      <c r="A3" s="50"/>
      <c r="B3" s="59" t="s">
        <v>91</v>
      </c>
      <c r="C3" s="52" t="s">
        <v>28</v>
      </c>
      <c r="D3" s="53">
        <f>200*0.25</f>
        <v>50</v>
      </c>
      <c r="E3" s="54">
        <f>IF(C20&lt;=25%,D20,MIN(E20:F20))</f>
        <v>493.97</v>
      </c>
      <c r="F3" s="54">
        <f>MIN(H3:H17)</f>
        <v>309.8</v>
      </c>
      <c r="G3" s="6" t="s">
        <v>106</v>
      </c>
      <c r="H3" s="7">
        <v>309.8</v>
      </c>
      <c r="I3" s="8">
        <f t="shared" ref="I3:I17" si="0">IF(H3="","",(IF($C$20&lt;25%,"N/A",IF(H3&lt;=($D$20+$A$20),H3,"Descartado"))))</f>
        <v>309.8</v>
      </c>
    </row>
    <row r="4" spans="1:9" x14ac:dyDescent="0.2">
      <c r="A4" s="50"/>
      <c r="B4" s="59"/>
      <c r="C4" s="52"/>
      <c r="D4" s="53"/>
      <c r="E4" s="54"/>
      <c r="F4" s="54"/>
      <c r="G4" s="6" t="s">
        <v>189</v>
      </c>
      <c r="H4" s="7">
        <v>503.1</v>
      </c>
      <c r="I4" s="8">
        <f t="shared" si="0"/>
        <v>503.1</v>
      </c>
    </row>
    <row r="5" spans="1:9" x14ac:dyDescent="0.2">
      <c r="A5" s="50"/>
      <c r="B5" s="59"/>
      <c r="C5" s="52"/>
      <c r="D5" s="53"/>
      <c r="E5" s="54"/>
      <c r="F5" s="54"/>
      <c r="G5" s="6" t="s">
        <v>191</v>
      </c>
      <c r="H5" s="7">
        <v>669</v>
      </c>
      <c r="I5" s="8">
        <f t="shared" si="0"/>
        <v>669</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179.77408971632499</v>
      </c>
      <c r="B20" s="19">
        <f>COUNT(H3:H17)</f>
        <v>3</v>
      </c>
      <c r="C20" s="20">
        <f>IF(B20&lt;2,"N/A",(A20/D20))</f>
        <v>0.36393726282228672</v>
      </c>
      <c r="D20" s="21">
        <f>ROUND(AVERAGE(H3:H17),2)</f>
        <v>493.97</v>
      </c>
      <c r="E20" s="22">
        <f>IFERROR(ROUND(IF(B20&lt;2,"N/A",(IF(C20&lt;=25%,"N/A",AVERAGE(I3:I17)))),2),"N/A")</f>
        <v>493.97</v>
      </c>
      <c r="F20" s="22">
        <f>ROUND(MEDIAN(H3:H17),2)</f>
        <v>503.1</v>
      </c>
      <c r="G20" s="23" t="str">
        <f>INDEX(G3:G17,MATCH(H20,H3:H17,0))</f>
        <v>CPS MOBILIARIO E EQUIPAMENTOS EIRELI</v>
      </c>
      <c r="H20" s="24">
        <f>MIN(H3:H17)</f>
        <v>309.8</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493.97</v>
      </c>
    </row>
    <row r="23" spans="1:11" x14ac:dyDescent="0.2">
      <c r="B23" s="25"/>
      <c r="C23" s="25"/>
      <c r="D23" s="56"/>
      <c r="E23" s="56"/>
      <c r="F23" s="33"/>
      <c r="G23" s="4" t="s">
        <v>18</v>
      </c>
      <c r="H23" s="24">
        <f>ROUND(H22,2)*D3</f>
        <v>24698.5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47</v>
      </c>
      <c r="B2" s="2" t="s">
        <v>2</v>
      </c>
      <c r="C2" s="2" t="s">
        <v>3</v>
      </c>
      <c r="D2" s="2" t="s">
        <v>4</v>
      </c>
      <c r="E2" s="3" t="s">
        <v>5</v>
      </c>
      <c r="F2" s="3" t="s">
        <v>6</v>
      </c>
      <c r="G2" s="2" t="s">
        <v>7</v>
      </c>
      <c r="H2" s="4" t="s">
        <v>8</v>
      </c>
      <c r="I2" s="5" t="s">
        <v>9</v>
      </c>
    </row>
    <row r="3" spans="1:9" ht="12.75" customHeight="1" x14ac:dyDescent="0.2">
      <c r="A3" s="50"/>
      <c r="B3" s="59" t="s">
        <v>91</v>
      </c>
      <c r="C3" s="52" t="s">
        <v>28</v>
      </c>
      <c r="D3" s="53">
        <f>200*0.75</f>
        <v>150</v>
      </c>
      <c r="E3" s="54">
        <f>IF(C20&lt;=25%,D20,MIN(E20:F20))</f>
        <v>493.97</v>
      </c>
      <c r="F3" s="54">
        <f>MIN(H3:H17)</f>
        <v>309.8</v>
      </c>
      <c r="G3" s="6" t="s">
        <v>106</v>
      </c>
      <c r="H3" s="7">
        <v>309.8</v>
      </c>
      <c r="I3" s="8">
        <f t="shared" ref="I3:I17" si="0">IF(H3="","",(IF($C$20&lt;25%,"N/A",IF(H3&lt;=($D$20+$A$20),H3,"Descartado"))))</f>
        <v>309.8</v>
      </c>
    </row>
    <row r="4" spans="1:9" x14ac:dyDescent="0.2">
      <c r="A4" s="50"/>
      <c r="B4" s="59"/>
      <c r="C4" s="52"/>
      <c r="D4" s="53"/>
      <c r="E4" s="54"/>
      <c r="F4" s="54"/>
      <c r="G4" s="6" t="s">
        <v>189</v>
      </c>
      <c r="H4" s="7">
        <v>503.1</v>
      </c>
      <c r="I4" s="8">
        <f t="shared" si="0"/>
        <v>503.1</v>
      </c>
    </row>
    <row r="5" spans="1:9" x14ac:dyDescent="0.2">
      <c r="A5" s="50"/>
      <c r="B5" s="59"/>
      <c r="C5" s="52"/>
      <c r="D5" s="53"/>
      <c r="E5" s="54"/>
      <c r="F5" s="54"/>
      <c r="G5" s="6" t="s">
        <v>191</v>
      </c>
      <c r="H5" s="7">
        <v>669</v>
      </c>
      <c r="I5" s="8">
        <f t="shared" si="0"/>
        <v>669</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179.77408971632499</v>
      </c>
      <c r="B20" s="19">
        <f>COUNT(H3:H17)</f>
        <v>3</v>
      </c>
      <c r="C20" s="20">
        <f>IF(B20&lt;2,"N/A",(A20/D20))</f>
        <v>0.36393726282228672</v>
      </c>
      <c r="D20" s="21">
        <f>ROUND(AVERAGE(H3:H17),2)</f>
        <v>493.97</v>
      </c>
      <c r="E20" s="22">
        <f>IFERROR(ROUND(IF(B20&lt;2,"N/A",(IF(C20&lt;=25%,"N/A",AVERAGE(I3:I17)))),2),"N/A")</f>
        <v>493.97</v>
      </c>
      <c r="F20" s="22">
        <f>ROUND(MEDIAN(H3:H17),2)</f>
        <v>503.1</v>
      </c>
      <c r="G20" s="23" t="str">
        <f>INDEX(G3:G17,MATCH(H20,H3:H17,0))</f>
        <v>CPS MOBILIARIO E EQUIPAMENTOS EIRELI</v>
      </c>
      <c r="H20" s="24">
        <f>MIN(H3:H17)</f>
        <v>309.8</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493.97</v>
      </c>
    </row>
    <row r="23" spans="1:11" x14ac:dyDescent="0.2">
      <c r="B23" s="25"/>
      <c r="C23" s="25"/>
      <c r="D23" s="56"/>
      <c r="E23" s="56"/>
      <c r="F23" s="33"/>
      <c r="G23" s="4" t="s">
        <v>18</v>
      </c>
      <c r="H23" s="24">
        <f>ROUND(H22,2)*D3</f>
        <v>74095.5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48</v>
      </c>
      <c r="B2" s="2" t="s">
        <v>2</v>
      </c>
      <c r="C2" s="2" t="s">
        <v>3</v>
      </c>
      <c r="D2" s="2" t="s">
        <v>4</v>
      </c>
      <c r="E2" s="3" t="s">
        <v>5</v>
      </c>
      <c r="F2" s="3" t="s">
        <v>6</v>
      </c>
      <c r="G2" s="2" t="s">
        <v>7</v>
      </c>
      <c r="H2" s="4" t="s">
        <v>8</v>
      </c>
      <c r="I2" s="5" t="s">
        <v>9</v>
      </c>
    </row>
    <row r="3" spans="1:9" ht="12.75" customHeight="1" x14ac:dyDescent="0.2">
      <c r="A3" s="50"/>
      <c r="B3" s="59" t="s">
        <v>102</v>
      </c>
      <c r="C3" s="52" t="s">
        <v>28</v>
      </c>
      <c r="D3" s="53">
        <f>150-38</f>
        <v>112</v>
      </c>
      <c r="E3" s="54">
        <f>IF(C20&lt;=25%,D20,MIN(E20:F20))</f>
        <v>608.12</v>
      </c>
      <c r="F3" s="54">
        <f>MIN(H3:H17)</f>
        <v>500</v>
      </c>
      <c r="G3" s="6" t="s">
        <v>147</v>
      </c>
      <c r="H3" s="7">
        <v>500</v>
      </c>
      <c r="I3" s="8" t="str">
        <f t="shared" ref="I3:I17" si="0">IF(H3="","",(IF($C$20&lt;25%,"N/A",IF(H3&lt;=($D$20+$A$20),H3,"Descartado"))))</f>
        <v>N/A</v>
      </c>
    </row>
    <row r="4" spans="1:9" x14ac:dyDescent="0.2">
      <c r="A4" s="50"/>
      <c r="B4" s="59"/>
      <c r="C4" s="52"/>
      <c r="D4" s="53"/>
      <c r="E4" s="54"/>
      <c r="F4" s="54"/>
      <c r="G4" s="6" t="s">
        <v>166</v>
      </c>
      <c r="H4" s="7">
        <v>548.99</v>
      </c>
      <c r="I4" s="8" t="str">
        <f t="shared" si="0"/>
        <v>N/A</v>
      </c>
    </row>
    <row r="5" spans="1:9" x14ac:dyDescent="0.2">
      <c r="A5" s="50"/>
      <c r="B5" s="59"/>
      <c r="C5" s="52"/>
      <c r="D5" s="53"/>
      <c r="E5" s="54"/>
      <c r="F5" s="54"/>
      <c r="G5" s="6" t="s">
        <v>167</v>
      </c>
      <c r="H5" s="7">
        <v>658.5</v>
      </c>
      <c r="I5" s="8" t="str">
        <f t="shared" si="0"/>
        <v>N/A</v>
      </c>
    </row>
    <row r="6" spans="1:9" x14ac:dyDescent="0.2">
      <c r="A6" s="50"/>
      <c r="B6" s="59"/>
      <c r="C6" s="52"/>
      <c r="D6" s="53"/>
      <c r="E6" s="54"/>
      <c r="F6" s="54"/>
      <c r="G6" s="6" t="s">
        <v>168</v>
      </c>
      <c r="H6" s="7">
        <v>725</v>
      </c>
      <c r="I6" s="8" t="str">
        <f t="shared" si="0"/>
        <v>N/A</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102.28289214233311</v>
      </c>
      <c r="B20" s="19">
        <f>COUNT(H3:H17)</f>
        <v>4</v>
      </c>
      <c r="C20" s="20">
        <f>IF(B20&lt;2,"N/A",(A20/D20))</f>
        <v>0.16819524459372018</v>
      </c>
      <c r="D20" s="21">
        <f>ROUND(AVERAGE(H3:H17),2)</f>
        <v>608.12</v>
      </c>
      <c r="E20" s="22" t="str">
        <f>IFERROR(ROUND(IF(B20&lt;2,"N/A",(IF(C20&lt;=25%,"N/A",AVERAGE(I3:I17)))),2),"N/A")</f>
        <v>N/A</v>
      </c>
      <c r="F20" s="22">
        <f>ROUND(MEDIAN(H3:H17),2)</f>
        <v>603.75</v>
      </c>
      <c r="G20" s="23" t="str">
        <f>INDEX(G3:G17,MATCH(H20,H3:H17,0))</f>
        <v>LAYOUT MOVEIS PARA ESCRITORIO LTDA</v>
      </c>
      <c r="H20" s="24">
        <f>MIN(H3:H17)</f>
        <v>500</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608.12</v>
      </c>
    </row>
    <row r="23" spans="1:11" x14ac:dyDescent="0.2">
      <c r="B23" s="25"/>
      <c r="C23" s="25"/>
      <c r="D23" s="56"/>
      <c r="E23" s="56"/>
      <c r="F23" s="33"/>
      <c r="G23" s="4" t="s">
        <v>18</v>
      </c>
      <c r="H23" s="24">
        <f>ROUND(H22,2)*D3</f>
        <v>68109.440000000002</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50</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55</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56</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57</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58</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J2" sqref="J2"/>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59</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60</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61</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0" sqref="G10"/>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27</v>
      </c>
      <c r="B2" s="2" t="s">
        <v>2</v>
      </c>
      <c r="C2" s="2" t="s">
        <v>3</v>
      </c>
      <c r="D2" s="2" t="s">
        <v>4</v>
      </c>
      <c r="E2" s="3" t="s">
        <v>5</v>
      </c>
      <c r="F2" s="3" t="s">
        <v>6</v>
      </c>
      <c r="G2" s="2" t="s">
        <v>7</v>
      </c>
      <c r="H2" s="4" t="s">
        <v>8</v>
      </c>
      <c r="I2" s="5" t="s">
        <v>9</v>
      </c>
    </row>
    <row r="3" spans="1:9" ht="12.75" customHeight="1" x14ac:dyDescent="0.2">
      <c r="A3" s="50"/>
      <c r="B3" s="59" t="s">
        <v>92</v>
      </c>
      <c r="C3" s="52" t="s">
        <v>28</v>
      </c>
      <c r="D3" s="53">
        <v>50</v>
      </c>
      <c r="E3" s="54">
        <f>IF(C20&lt;=25%,D20,MIN(E20:F20))</f>
        <v>800</v>
      </c>
      <c r="F3" s="54">
        <f>MIN(H3:H17)</f>
        <v>653.25</v>
      </c>
      <c r="G3" s="6" t="s">
        <v>130</v>
      </c>
      <c r="H3" s="7">
        <v>653.25</v>
      </c>
      <c r="I3" s="8">
        <f t="shared" ref="I3:I17" si="0">IF(H3="","",(IF($C$20&lt;25%,"N/A",IF(H3&lt;=($D$20+$A$20),H3,"Descartado"))))</f>
        <v>653.25</v>
      </c>
    </row>
    <row r="4" spans="1:9" x14ac:dyDescent="0.2">
      <c r="A4" s="50"/>
      <c r="B4" s="59"/>
      <c r="C4" s="52"/>
      <c r="D4" s="53"/>
      <c r="E4" s="54"/>
      <c r="F4" s="54"/>
      <c r="G4" s="6" t="s">
        <v>131</v>
      </c>
      <c r="H4" s="7">
        <v>700</v>
      </c>
      <c r="I4" s="8">
        <f t="shared" si="0"/>
        <v>700</v>
      </c>
    </row>
    <row r="5" spans="1:9" x14ac:dyDescent="0.2">
      <c r="A5" s="50"/>
      <c r="B5" s="59"/>
      <c r="C5" s="52"/>
      <c r="D5" s="53"/>
      <c r="E5" s="54"/>
      <c r="F5" s="54"/>
      <c r="G5" s="6" t="s">
        <v>122</v>
      </c>
      <c r="H5" s="7">
        <v>769</v>
      </c>
      <c r="I5" s="8">
        <f t="shared" si="0"/>
        <v>769</v>
      </c>
    </row>
    <row r="6" spans="1:9" x14ac:dyDescent="0.2">
      <c r="A6" s="50"/>
      <c r="B6" s="59"/>
      <c r="C6" s="52"/>
      <c r="D6" s="53"/>
      <c r="E6" s="54"/>
      <c r="F6" s="54"/>
      <c r="G6" s="6" t="s">
        <v>132</v>
      </c>
      <c r="H6" s="7">
        <v>800</v>
      </c>
      <c r="I6" s="8">
        <f t="shared" si="0"/>
        <v>800</v>
      </c>
    </row>
    <row r="7" spans="1:9" x14ac:dyDescent="0.2">
      <c r="A7" s="50"/>
      <c r="B7" s="59"/>
      <c r="C7" s="52"/>
      <c r="D7" s="53"/>
      <c r="E7" s="54"/>
      <c r="F7" s="54"/>
      <c r="G7" s="6" t="s">
        <v>133</v>
      </c>
      <c r="H7" s="7">
        <v>909.66</v>
      </c>
      <c r="I7" s="8">
        <f t="shared" si="0"/>
        <v>909.66</v>
      </c>
    </row>
    <row r="8" spans="1:9" x14ac:dyDescent="0.2">
      <c r="A8" s="50"/>
      <c r="B8" s="59"/>
      <c r="C8" s="52"/>
      <c r="D8" s="53"/>
      <c r="E8" s="54"/>
      <c r="F8" s="54"/>
      <c r="G8" s="6" t="s">
        <v>134</v>
      </c>
      <c r="H8" s="7">
        <v>1253</v>
      </c>
      <c r="I8" s="8">
        <f t="shared" si="0"/>
        <v>1253</v>
      </c>
    </row>
    <row r="9" spans="1:9" x14ac:dyDescent="0.2">
      <c r="A9" s="50"/>
      <c r="B9" s="59"/>
      <c r="C9" s="52"/>
      <c r="D9" s="53"/>
      <c r="E9" s="54"/>
      <c r="F9" s="54"/>
      <c r="G9" s="6" t="s">
        <v>115</v>
      </c>
      <c r="H9" s="7">
        <v>2553.52</v>
      </c>
      <c r="I9" s="8" t="str">
        <f t="shared" si="0"/>
        <v>Descartado</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674.6559266731731</v>
      </c>
      <c r="B20" s="19">
        <f>COUNT(H3:H17)</f>
        <v>7</v>
      </c>
      <c r="C20" s="20">
        <f>IF(B20&lt;2,"N/A",(A20/D20))</f>
        <v>0.61826972752306919</v>
      </c>
      <c r="D20" s="21">
        <f>ROUND(AVERAGE(H3:H17),2)</f>
        <v>1091.2</v>
      </c>
      <c r="E20" s="22">
        <f>IFERROR(ROUND(IF(B20&lt;2,"N/A",(IF(C20&lt;=25%,"N/A",AVERAGE(I3:I17)))),2),"N/A")</f>
        <v>847.49</v>
      </c>
      <c r="F20" s="22">
        <f>ROUND(MEDIAN(H3:H17),2)</f>
        <v>800</v>
      </c>
      <c r="G20" s="23" t="str">
        <f>INDEX(G3:G17,MATCH(H20,H3:H17,0))</f>
        <v>CASTRO MM COMERCIO E SERVICOS LTDA</v>
      </c>
      <c r="H20" s="24">
        <f>MIN(H3:H17)</f>
        <v>653.25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800</v>
      </c>
    </row>
    <row r="23" spans="1:11" x14ac:dyDescent="0.2">
      <c r="B23" s="25"/>
      <c r="C23" s="25"/>
      <c r="D23" s="56"/>
      <c r="E23" s="56"/>
      <c r="F23" s="33"/>
      <c r="G23" s="4" t="s">
        <v>18</v>
      </c>
      <c r="H23" s="24">
        <f>ROUND(H22,2)*D3</f>
        <v>40000</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62</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63</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64</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65</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66</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67</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68</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69</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70</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71</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8" sqref="G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29</v>
      </c>
      <c r="B2" s="2" t="s">
        <v>2</v>
      </c>
      <c r="C2" s="2" t="s">
        <v>3</v>
      </c>
      <c r="D2" s="2" t="s">
        <v>4</v>
      </c>
      <c r="E2" s="3" t="s">
        <v>5</v>
      </c>
      <c r="F2" s="3" t="s">
        <v>6</v>
      </c>
      <c r="G2" s="2" t="s">
        <v>7</v>
      </c>
      <c r="H2" s="4" t="s">
        <v>8</v>
      </c>
      <c r="I2" s="5" t="s">
        <v>9</v>
      </c>
    </row>
    <row r="3" spans="1:9" ht="12.75" customHeight="1" x14ac:dyDescent="0.2">
      <c r="A3" s="50"/>
      <c r="B3" s="59" t="s">
        <v>93</v>
      </c>
      <c r="C3" s="52" t="s">
        <v>28</v>
      </c>
      <c r="D3" s="53">
        <v>200</v>
      </c>
      <c r="E3" s="54">
        <f>IF(C20&lt;=25%,D20,MIN(E20:F20))</f>
        <v>315.81</v>
      </c>
      <c r="F3" s="54">
        <f>MIN(H3:H17)</f>
        <v>180</v>
      </c>
      <c r="G3" s="6" t="s">
        <v>145</v>
      </c>
      <c r="H3" s="7">
        <v>180</v>
      </c>
      <c r="I3" s="8">
        <f t="shared" ref="I3:I17" si="0">IF(H3="","",(IF($C$20&lt;25%,"N/A",IF(H3&lt;=($D$20+$A$20),H3,"Descartado"))))</f>
        <v>180</v>
      </c>
    </row>
    <row r="4" spans="1:9" x14ac:dyDescent="0.2">
      <c r="A4" s="50"/>
      <c r="B4" s="59"/>
      <c r="C4" s="52"/>
      <c r="D4" s="53"/>
      <c r="E4" s="54"/>
      <c r="F4" s="54"/>
      <c r="G4" s="6" t="s">
        <v>114</v>
      </c>
      <c r="H4" s="7">
        <v>264.22000000000003</v>
      </c>
      <c r="I4" s="8">
        <f t="shared" si="0"/>
        <v>264.22000000000003</v>
      </c>
    </row>
    <row r="5" spans="1:9" x14ac:dyDescent="0.2">
      <c r="A5" s="50"/>
      <c r="B5" s="59"/>
      <c r="C5" s="52"/>
      <c r="D5" s="53"/>
      <c r="E5" s="54"/>
      <c r="F5" s="54"/>
      <c r="G5" s="6" t="s">
        <v>146</v>
      </c>
      <c r="H5" s="7">
        <v>320</v>
      </c>
      <c r="I5" s="8">
        <f t="shared" si="0"/>
        <v>320</v>
      </c>
    </row>
    <row r="6" spans="1:9" x14ac:dyDescent="0.2">
      <c r="A6" s="50"/>
      <c r="B6" s="59"/>
      <c r="C6" s="52"/>
      <c r="D6" s="53"/>
      <c r="E6" s="54"/>
      <c r="F6" s="54"/>
      <c r="G6" s="6" t="s">
        <v>147</v>
      </c>
      <c r="H6" s="7">
        <v>499</v>
      </c>
      <c r="I6" s="8">
        <f t="shared" si="0"/>
        <v>499</v>
      </c>
    </row>
    <row r="7" spans="1:9" x14ac:dyDescent="0.2">
      <c r="A7" s="50"/>
      <c r="B7" s="59"/>
      <c r="C7" s="52"/>
      <c r="D7" s="53"/>
      <c r="E7" s="54"/>
      <c r="F7" s="54"/>
      <c r="G7" s="6" t="s">
        <v>148</v>
      </c>
      <c r="H7" s="7">
        <v>691</v>
      </c>
      <c r="I7" s="8" t="str">
        <f t="shared" si="0"/>
        <v>Descartado</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204.51103070494753</v>
      </c>
      <c r="B20" s="19">
        <f>COUNT(H3:H17)</f>
        <v>5</v>
      </c>
      <c r="C20" s="20">
        <f>IF(B20&lt;2,"N/A",(A20/D20))</f>
        <v>0.52326023617067741</v>
      </c>
      <c r="D20" s="21">
        <f>ROUND(AVERAGE(H3:H17),2)</f>
        <v>390.84</v>
      </c>
      <c r="E20" s="22">
        <f>IFERROR(ROUND(IF(B20&lt;2,"N/A",(IF(C20&lt;=25%,"N/A",AVERAGE(I3:I17)))),2),"N/A")</f>
        <v>315.81</v>
      </c>
      <c r="F20" s="22">
        <f>ROUND(MEDIAN(H3:H17),2)</f>
        <v>320</v>
      </c>
      <c r="G20" s="23" t="str">
        <f>INDEX(G3:G17,MATCH(H20,H3:H17,0))</f>
        <v>OFFICE SOLUCAO EM COMERCIO DE MOVEIS PARA ESCRITORIO EIRELI</v>
      </c>
      <c r="H20" s="24">
        <f>MIN(H3:H17)</f>
        <v>180</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315.81</v>
      </c>
    </row>
    <row r="23" spans="1:11" x14ac:dyDescent="0.2">
      <c r="B23" s="25"/>
      <c r="C23" s="25"/>
      <c r="D23" s="56"/>
      <c r="E23" s="56"/>
      <c r="F23" s="33"/>
      <c r="G23" s="4" t="s">
        <v>18</v>
      </c>
      <c r="H23" s="24">
        <f>ROUND(H22,2)*D3</f>
        <v>63162</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72</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73</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2" sqref="A2"/>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74</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75</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76</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77</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78</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A18" sqref="A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79</v>
      </c>
      <c r="B2" s="2" t="s">
        <v>2</v>
      </c>
      <c r="C2" s="2" t="s">
        <v>3</v>
      </c>
      <c r="D2" s="2" t="s">
        <v>4</v>
      </c>
      <c r="E2" s="3" t="s">
        <v>5</v>
      </c>
      <c r="F2" s="3" t="s">
        <v>6</v>
      </c>
      <c r="G2" s="2" t="s">
        <v>7</v>
      </c>
      <c r="H2" s="4" t="s">
        <v>8</v>
      </c>
      <c r="I2" s="5" t="s">
        <v>9</v>
      </c>
    </row>
    <row r="3" spans="1:9" ht="12.75" customHeight="1" x14ac:dyDescent="0.2">
      <c r="A3" s="50"/>
      <c r="B3" s="59" t="s">
        <v>51</v>
      </c>
      <c r="C3" s="52" t="s">
        <v>28</v>
      </c>
      <c r="D3" s="53">
        <v>10</v>
      </c>
      <c r="E3" s="54">
        <f>IF(C20&lt;=25%,D20,MIN(E20:F20))</f>
        <v>757.25</v>
      </c>
      <c r="F3" s="54">
        <f>MIN(H3:H17)</f>
        <v>697.5</v>
      </c>
      <c r="G3" s="6" t="s">
        <v>52</v>
      </c>
      <c r="H3" s="7">
        <v>697.5</v>
      </c>
      <c r="I3" s="8">
        <f t="shared" ref="I3:I17" si="0">IF(H3="","",(IF($C$20&lt;25%,"N/A",IF(H3&lt;=($D$20+$A$20),H3,"Descartado"))))</f>
        <v>697.5</v>
      </c>
    </row>
    <row r="4" spans="1:9" x14ac:dyDescent="0.2">
      <c r="A4" s="50"/>
      <c r="B4" s="59"/>
      <c r="C4" s="52"/>
      <c r="D4" s="53"/>
      <c r="E4" s="54"/>
      <c r="F4" s="54"/>
      <c r="G4" s="6" t="s">
        <v>53</v>
      </c>
      <c r="H4" s="7">
        <v>817</v>
      </c>
      <c r="I4" s="8">
        <f t="shared" si="0"/>
        <v>817</v>
      </c>
    </row>
    <row r="5" spans="1:9" x14ac:dyDescent="0.2">
      <c r="A5" s="50"/>
      <c r="B5" s="59"/>
      <c r="C5" s="52"/>
      <c r="D5" s="53"/>
      <c r="E5" s="54"/>
      <c r="F5" s="54"/>
      <c r="G5" s="6" t="s">
        <v>54</v>
      </c>
      <c r="H5" s="7">
        <v>1125</v>
      </c>
      <c r="I5" s="8" t="str">
        <f t="shared" si="0"/>
        <v>Descartado</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220.56763890773564</v>
      </c>
      <c r="B20" s="19">
        <f>COUNT(H3:H17)</f>
        <v>3</v>
      </c>
      <c r="C20" s="20">
        <f>IF(B20&lt;2,"N/A",(A20/D20))</f>
        <v>0.25069347363437894</v>
      </c>
      <c r="D20" s="21">
        <f>ROUND(AVERAGE(H3:H17),2)</f>
        <v>879.83</v>
      </c>
      <c r="E20" s="22">
        <f>IFERROR(ROUND(IF(B20&lt;2,"N/A",(IF(C20&lt;=25%,"N/A",AVERAGE(I3:I17)))),2),"N/A")</f>
        <v>757.25</v>
      </c>
      <c r="F20" s="22">
        <f>ROUND(MEDIAN(H3:H17),2)</f>
        <v>817</v>
      </c>
      <c r="G20" s="23" t="str">
        <f>INDEX(G3:G17,MATCH(H20,H3:H17,0))</f>
        <v>NÃO ALTERE AS FÓRMULAS LTDA</v>
      </c>
      <c r="H20" s="24">
        <f>MIN(H3:H17)</f>
        <v>697.5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757.25</v>
      </c>
    </row>
    <row r="23" spans="1:11" x14ac:dyDescent="0.2">
      <c r="B23" s="25"/>
      <c r="C23" s="25"/>
      <c r="D23" s="56"/>
      <c r="E23" s="56"/>
      <c r="F23" s="33"/>
      <c r="G23" s="4" t="s">
        <v>18</v>
      </c>
      <c r="H23" s="24">
        <f>ROUND(H22,2)*D3</f>
        <v>7572.5</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D18" sqref="D18"/>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49</v>
      </c>
      <c r="B2" s="2" t="s">
        <v>2</v>
      </c>
      <c r="C2" s="2" t="s">
        <v>3</v>
      </c>
      <c r="D2" s="2" t="s">
        <v>4</v>
      </c>
      <c r="E2" s="3" t="s">
        <v>5</v>
      </c>
      <c r="F2" s="3" t="s">
        <v>6</v>
      </c>
      <c r="G2" s="2" t="s">
        <v>7</v>
      </c>
      <c r="H2" s="4" t="s">
        <v>8</v>
      </c>
      <c r="I2" s="5" t="s">
        <v>9</v>
      </c>
    </row>
    <row r="3" spans="1:9" ht="12.75" customHeight="1" x14ac:dyDescent="0.2">
      <c r="A3" s="50"/>
      <c r="B3" s="59" t="s">
        <v>104</v>
      </c>
      <c r="C3" s="52" t="s">
        <v>28</v>
      </c>
      <c r="D3" s="53">
        <f>60*0.75</f>
        <v>45</v>
      </c>
      <c r="E3" s="54">
        <f>IF(C20&lt;=25%,D20,MIN(E20:F20))</f>
        <v>2522.62</v>
      </c>
      <c r="F3" s="54">
        <f>MIN(H3:H17)</f>
        <v>1403.45</v>
      </c>
      <c r="G3" s="6" t="s">
        <v>180</v>
      </c>
      <c r="H3" s="7">
        <v>4102.41</v>
      </c>
      <c r="I3" s="8">
        <f t="shared" ref="I3:I17" si="0">IF(H3="","",(IF($C$20&lt;25%,"N/A",IF(H3&lt;=($D$20+$A$20),H3,"Descartado"))))</f>
        <v>4102.41</v>
      </c>
    </row>
    <row r="4" spans="1:9" x14ac:dyDescent="0.2">
      <c r="A4" s="50"/>
      <c r="B4" s="59"/>
      <c r="C4" s="52"/>
      <c r="D4" s="53"/>
      <c r="E4" s="54"/>
      <c r="F4" s="54"/>
      <c r="G4" s="6" t="s">
        <v>181</v>
      </c>
      <c r="H4" s="7">
        <v>7870.95</v>
      </c>
      <c r="I4" s="8" t="str">
        <f t="shared" si="0"/>
        <v>Descartado</v>
      </c>
    </row>
    <row r="5" spans="1:9" x14ac:dyDescent="0.2">
      <c r="A5" s="50"/>
      <c r="B5" s="59"/>
      <c r="C5" s="52"/>
      <c r="D5" s="53"/>
      <c r="E5" s="54"/>
      <c r="F5" s="54"/>
      <c r="G5" s="6" t="s">
        <v>182</v>
      </c>
      <c r="H5" s="7">
        <v>2062</v>
      </c>
      <c r="I5" s="8">
        <f t="shared" si="0"/>
        <v>2062</v>
      </c>
    </row>
    <row r="6" spans="1:9" x14ac:dyDescent="0.2">
      <c r="A6" s="50"/>
      <c r="B6" s="59"/>
      <c r="C6" s="52"/>
      <c r="D6" s="53"/>
      <c r="E6" s="54"/>
      <c r="F6" s="54"/>
      <c r="G6" s="6" t="s">
        <v>183</v>
      </c>
      <c r="H6" s="7">
        <v>1403.45</v>
      </c>
      <c r="I6" s="8">
        <f t="shared" si="0"/>
        <v>1403.45</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2910.5511539383156</v>
      </c>
      <c r="B20" s="19">
        <f>COUNT(H3:H17)</f>
        <v>4</v>
      </c>
      <c r="C20" s="20">
        <f>IF(B20&lt;2,"N/A",(A20/D20))</f>
        <v>0.75408740418641751</v>
      </c>
      <c r="D20" s="21">
        <f>ROUND(AVERAGE(H3:H17),2)</f>
        <v>3859.7</v>
      </c>
      <c r="E20" s="22">
        <f>IFERROR(ROUND(IF(B20&lt;2,"N/A",(IF(C20&lt;=25%,"N/A",AVERAGE(I3:I17)))),2),"N/A")</f>
        <v>2522.62</v>
      </c>
      <c r="F20" s="22">
        <f>ROUND(MEDIAN(H3:H17),2)</f>
        <v>3082.21</v>
      </c>
      <c r="G20" s="23" t="str">
        <f>INDEX(G3:G17,MATCH(H20,H3:H17,0))</f>
        <v>VICEL MOVEIS DE AÇO</v>
      </c>
      <c r="H20" s="24">
        <f>MIN(H3:H17)</f>
        <v>1403.45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2522.62</v>
      </c>
    </row>
    <row r="23" spans="1:11" x14ac:dyDescent="0.2">
      <c r="B23" s="25"/>
      <c r="C23" s="25"/>
      <c r="D23" s="56"/>
      <c r="E23" s="56"/>
      <c r="F23" s="33"/>
      <c r="G23" s="4" t="s">
        <v>18</v>
      </c>
      <c r="H23" s="24">
        <f>ROUND(H22,2)*D3</f>
        <v>113517.9</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2"/>
  <sheetViews>
    <sheetView tabSelected="1" view="pageBreakPreview" topLeftCell="A28" zoomScale="75" zoomScaleNormal="100" zoomScaleSheetLayoutView="75" workbookViewId="0">
      <selection activeCell="S31" sqref="S31"/>
    </sheetView>
  </sheetViews>
  <sheetFormatPr defaultColWidth="9.140625" defaultRowHeight="12.75" x14ac:dyDescent="0.2"/>
  <cols>
    <col min="1" max="1" width="5.5703125" bestFit="1" customWidth="1"/>
    <col min="2" max="2" width="9.140625" style="34"/>
    <col min="3" max="3" width="100.42578125" style="34" customWidth="1"/>
    <col min="4" max="6" width="13.28515625" style="34" customWidth="1"/>
    <col min="7" max="7" width="15.5703125" style="34" customWidth="1"/>
    <col min="8" max="8" width="6.85546875" style="35" bestFit="1" customWidth="1"/>
    <col min="9" max="15" width="9.140625" style="35"/>
    <col min="16" max="1025" width="9.140625" style="34"/>
  </cols>
  <sheetData>
    <row r="1" spans="2:8" ht="12.75" customHeight="1" x14ac:dyDescent="0.25">
      <c r="B1" s="36"/>
      <c r="C1" s="36"/>
      <c r="D1" s="36"/>
      <c r="E1" s="36"/>
      <c r="F1" s="36"/>
      <c r="G1" s="36"/>
    </row>
    <row r="2" spans="2:8" ht="12.75" customHeight="1" x14ac:dyDescent="0.25">
      <c r="B2" s="36"/>
      <c r="C2" s="36"/>
      <c r="D2" s="36"/>
      <c r="E2" s="36"/>
      <c r="F2" s="36"/>
      <c r="G2" s="36"/>
    </row>
    <row r="3" spans="2:8" ht="12.75" customHeight="1" x14ac:dyDescent="0.25">
      <c r="B3" s="36"/>
      <c r="C3" s="36"/>
      <c r="D3" s="36"/>
      <c r="E3" s="36"/>
      <c r="F3" s="36"/>
      <c r="G3" s="36"/>
    </row>
    <row r="4" spans="2:8" ht="12.75" customHeight="1" x14ac:dyDescent="0.25">
      <c r="B4" s="36"/>
      <c r="C4" s="36"/>
      <c r="D4" s="36"/>
      <c r="E4" s="36"/>
      <c r="F4" s="36"/>
      <c r="G4" s="36"/>
    </row>
    <row r="5" spans="2:8" ht="12.75" customHeight="1" x14ac:dyDescent="0.2">
      <c r="B5" s="62" t="s">
        <v>80</v>
      </c>
      <c r="C5" s="62"/>
      <c r="D5" s="62"/>
      <c r="E5" s="62"/>
      <c r="F5" s="62"/>
      <c r="G5" s="62"/>
    </row>
    <row r="6" spans="2:8" ht="12.75" customHeight="1" x14ac:dyDescent="0.2">
      <c r="B6" s="62" t="s">
        <v>81</v>
      </c>
      <c r="C6" s="62"/>
      <c r="D6" s="62"/>
      <c r="E6" s="62"/>
      <c r="F6" s="62"/>
      <c r="G6" s="62"/>
    </row>
    <row r="7" spans="2:8" ht="12.75" customHeight="1" x14ac:dyDescent="0.25">
      <c r="B7" s="37"/>
      <c r="C7" s="37"/>
      <c r="D7" s="37"/>
      <c r="E7" s="37"/>
      <c r="F7" s="37"/>
      <c r="G7" s="37"/>
    </row>
    <row r="8" spans="2:8" ht="15.75" customHeight="1" x14ac:dyDescent="0.25">
      <c r="B8" s="63" t="s">
        <v>82</v>
      </c>
      <c r="C8" s="63"/>
      <c r="D8" s="63"/>
      <c r="E8" s="63"/>
      <c r="F8" s="63"/>
      <c r="G8" s="63"/>
    </row>
    <row r="9" spans="2:8" ht="25.5" x14ac:dyDescent="0.2">
      <c r="B9" s="38" t="s">
        <v>83</v>
      </c>
      <c r="C9" s="38" t="s">
        <v>84</v>
      </c>
      <c r="D9" s="38" t="s">
        <v>85</v>
      </c>
      <c r="E9" s="38" t="s">
        <v>86</v>
      </c>
      <c r="F9" s="38" t="s">
        <v>87</v>
      </c>
      <c r="G9" s="38" t="s">
        <v>88</v>
      </c>
    </row>
    <row r="10" spans="2:8" ht="165.75" x14ac:dyDescent="0.2">
      <c r="B10" s="39">
        <v>1</v>
      </c>
      <c r="C10" s="40" t="str">
        <f>Item1!B3</f>
        <v xml:space="preserve">ESTANTE EM AÇO FECHADA,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Fechamento lateral e no fundo com painéis confeccionados em, no mínimo, chapa de aço 26;
• Colunas sustentando as prateleiras chapa de aço 14, estrutura em perfil “L” com dimensões mínimas de 30 x 30 mm, com encaixes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
</v>
      </c>
      <c r="D10" s="39" t="str">
        <f>Item1!C3</f>
        <v>unidade</v>
      </c>
      <c r="E10" s="39">
        <f>Item1!D3</f>
        <v>200</v>
      </c>
      <c r="F10" s="41">
        <f>Item1!E3</f>
        <v>247</v>
      </c>
      <c r="G10" s="41">
        <f t="shared" ref="G10:G31" si="0">(ROUND(F10,2)*E10)</f>
        <v>49400</v>
      </c>
      <c r="H10" s="42"/>
    </row>
    <row r="11" spans="2:8" ht="178.5" x14ac:dyDescent="0.2">
      <c r="B11" s="39">
        <v>2</v>
      </c>
      <c r="C11" s="40" t="str">
        <f>Item2!B3</f>
        <v xml:space="preserve">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
</v>
      </c>
      <c r="D11" s="39" t="str">
        <f>Item2!C3</f>
        <v>unidade</v>
      </c>
      <c r="E11" s="39">
        <f>Item2!D3</f>
        <v>50</v>
      </c>
      <c r="F11" s="41">
        <f>Item2!E3</f>
        <v>493.97</v>
      </c>
      <c r="G11" s="41">
        <f t="shared" si="0"/>
        <v>24698.5</v>
      </c>
    </row>
    <row r="12" spans="2:8" ht="204" x14ac:dyDescent="0.2">
      <c r="B12" s="39">
        <v>3</v>
      </c>
      <c r="C12" s="40" t="str">
        <f>Item3!B3</f>
        <v xml:space="preserve">ARMÁRIO EM AÇO, com as seguintes especificações:
• Dimensões externas: 920 mm x 450 mm x 1.980 mm (lxpxh), admitidas variações de ±20 mm para altura, e de ± 50 mm para a profundidade e largura;
• Confeccionado em chapa de aço 22, inclusive as portas;
• 2 portas de giro de 180º, com três dobradiças cada;
• Pintura em epóxi-pó por processo eletrostático, com aspecto uniforme, sem manchas, sem deformidades, sem rugas, sem riscos, na cor cinza, com tratamento anti-corrosivo à base de fosfato de zinco;
• Fechadura conjugada à maçaneta acionadora das travas de segurança nas partes superior e inferior da porta;
• Com 2 chaves;
• Maçaneta fabricada em metal, cromada;
• 4 prateleiras removíveis e graduáveis a cada 50 mm, confeccionadas em chapa de aço 22, com barra de reforço transversal (no sentido da largura) em aço, na face inferior, soldada em toda a sua extensão, com três dobras nas faces frontal e posterior;
• Livre de arestas cortantes;
• Sapatas protetoras em nylon ou polímero resistente para evitar danos ao piso.
</v>
      </c>
      <c r="D12" s="39" t="str">
        <f>Item3!C3</f>
        <v>unidade</v>
      </c>
      <c r="E12" s="39">
        <f>Item3!D3</f>
        <v>50</v>
      </c>
      <c r="F12" s="41">
        <f>Item3!E3</f>
        <v>800</v>
      </c>
      <c r="G12" s="41">
        <f t="shared" si="0"/>
        <v>40000</v>
      </c>
    </row>
    <row r="13" spans="2:8" ht="216.75" x14ac:dyDescent="0.2">
      <c r="B13" s="39">
        <v>4</v>
      </c>
      <c r="C13" s="40" t="str">
        <f>Item4!B3</f>
        <v xml:space="preserve">MESA AUXILIAR, com as seguintes especificações:
• Tampo único em MDP ou MDF, espessura de 25 mm, admitindo-se variação de ± 5 mm, revestido em ambas as faces com laminado melamínico na cor argila, bege ou marfim;
• Bordas retas em termoplástico, na cor do tampo, espessura mínima de 2 mm;
• Painel frontal, espessura de 20 mm, admitindo-se variação de ± 5 mm, revestido em ambas as faces com laminado melamínico na cor do tampo ou cinza;
• Dimensões: 800 mm x 600 mm x 735 mm (lxpxh), admitidas variações de +100 mm para largura, de ±50 mm para profundidade e de ±5 mm para altura;
• Estruturas laterais metálicas, com calha vertical metálica para passagem de fiação, pintadas em epóxi-pó por processo eletrostático na cor cinza ou preta;
• Tratamento anti-corrosivo à base de fosfato de zinco;
•  Todos os componentes metálicos aparentes em cor cinza ou preta;
• Sapatas reguladoras de nível em nylon ou polímero resistente;
• Saída de cabeamento da parte inferior para a superior com tampa removível, produzida com divisores que permitam a individualização dos circuitos;
• Calha horizontal para cabeamento sob o tampo.
</v>
      </c>
      <c r="D13" s="39" t="str">
        <f>Item4!C3</f>
        <v>unidade</v>
      </c>
      <c r="E13" s="39">
        <f>Item4!D3</f>
        <v>200</v>
      </c>
      <c r="F13" s="41">
        <f>Item4!E3</f>
        <v>315.81</v>
      </c>
      <c r="G13" s="41">
        <f t="shared" si="0"/>
        <v>63162</v>
      </c>
    </row>
    <row r="14" spans="2:8" ht="153" x14ac:dyDescent="0.2">
      <c r="B14" s="39">
        <v>5</v>
      </c>
      <c r="C14" s="40" t="str">
        <f>Item5!B3</f>
        <v xml:space="preserve">MESA PARA IMPRESSORA, com as seguintes especificações:
• Tampo único (sem abertura para formulário) em MDP ou MDF com, no mínimo, 20 mm de espessura, admitindo-se variação de ± 5 mm;
• Dimensões: 600 mm x 400 mm x 740 mm (lxpxh), admitidas variações de ±10 mm para largura e profundidade, e de ±10 mm para altura;
• Revestimento em laminado melamínico, nas duas faces, cor argila, bege ou marfim;
• Estrutura ou pés em chapa de aço, retangular ou oblonga, com pintura em epóxi-pó por processo eletrostático na cor preta ou cinza, com tratamento anti- corrosivo à base de fosfato de zinco;
• Segmentos de junções entre as chapas retangulares soldados em toda a sua extensão, sem excessos laterais;
• Base com sapatas protetoras em nylon ou polímero resistente;
• Acabamento das bordas em PVC em todas as extremidades do tampo nas cores cinza, preta ou do tampo.
</v>
      </c>
      <c r="D14" s="39" t="str">
        <f>Item5!C3</f>
        <v>unidade</v>
      </c>
      <c r="E14" s="39">
        <f>Item5!D3</f>
        <v>120</v>
      </c>
      <c r="F14" s="41">
        <f>Item5!E3</f>
        <v>156.66999999999999</v>
      </c>
      <c r="G14" s="41">
        <f t="shared" si="0"/>
        <v>18800.399999999998</v>
      </c>
    </row>
    <row r="15" spans="2:8" ht="63.75" x14ac:dyDescent="0.2">
      <c r="B15" s="39">
        <v>6</v>
      </c>
      <c r="C15" s="40" t="str">
        <f>Item6!B3</f>
        <v xml:space="preserve">QUADRO DE AVISO, com as seguintes especificações:
• Confeccionado em cortiça ou Celotex revestido com feltro na cor azul ou verde;
• Moldura em alumínio, dotada de furos ou dispositivo para fixação em parede;
• Dimensões podendo variar de: 1.000 mm a 1.200 mm (largura) x 800 mm a 900 mm (altura);
</v>
      </c>
      <c r="D15" s="39" t="str">
        <f>Item6!C3</f>
        <v>unidade</v>
      </c>
      <c r="E15" s="39">
        <f>Item6!D3</f>
        <v>200</v>
      </c>
      <c r="F15" s="41">
        <f>Item6!E3</f>
        <v>95.45</v>
      </c>
      <c r="G15" s="41">
        <f t="shared" si="0"/>
        <v>19090</v>
      </c>
    </row>
    <row r="16" spans="2:8" ht="191.25" x14ac:dyDescent="0.2">
      <c r="B16" s="39">
        <v>7</v>
      </c>
      <c r="C16" s="40" t="str">
        <f>Item7!B3</f>
        <v xml:space="preserve">PEDESTAL PARA ORGANIZAÇÃO DE FILA, com
as seguintes especificações:
• Corpo em perfil cilíndrico Alumínio, com diâmetro de 3” e altura de 1m, admitida variação de ±10%, acabamento preto fosco e recepção tripla de fita;
• Base redonda com diâmetro de 350 mm, admitida variação de ± 10%, proteção com pintura anti-oxidante na cor preta, recoberta por calota redonda em ABS de alto impacto acabamento preto, cinza ou prata ou em alumínio, e com borracha de proteção do piso;
• Peso total do conjunto peso mínimo de 7 kg
• Sistema retrátil intercambiável e desmontável, em nylon injetado, com mola em aço temperado, passador para proteção da fita, dupla haste lateral de suporte, caixa de mola, tampa protetora de mola, freio para retração lenta da fita, eixo central com trava de fita, terminal de fita com trava de segurança para conexão;
• Com fita, compatível com o pedestal e produzida em nylon cor preta, comprimento mínimo de 2000 mm e largura mínima de 50 mm, com impressão da logomarca TRE-BA, em, no mínimo, quatro pontos de cada face da fita, fonte Times New Roman, cor branca, tamanho da 3x3 cm.
</v>
      </c>
      <c r="D16" s="39" t="str">
        <f>Item7!C3</f>
        <v>unidade</v>
      </c>
      <c r="E16" s="39">
        <f>Item7!D3</f>
        <v>100</v>
      </c>
      <c r="F16" s="41">
        <f>Item7!E3</f>
        <v>199.49</v>
      </c>
      <c r="G16" s="41">
        <f t="shared" si="0"/>
        <v>19949</v>
      </c>
    </row>
    <row r="17" spans="1:8" ht="127.5" x14ac:dyDescent="0.2">
      <c r="B17" s="39">
        <v>8</v>
      </c>
      <c r="C17" s="40" t="str">
        <f>Item8!B3</f>
        <v xml:space="preserve">APOIO ERGONÔMICO PARA OS PÉS, com as
seguintes especificações:
Base (apoio para os pés) confeccionada em plástico de alta resistência e antiderrapante;
• Cor preta;
• O apoio para os pés não devem apresentar quinas vivas;
• Estrutura   tubular metálica com pés e/ou sapatas antiderrapantes;
• Dimensões da base podendo variar: 400 a 510 mm (largura) e 280 a 420 mm (profundidade);
• Inclinação ajustável;
Em conformidade com a NR17
</v>
      </c>
      <c r="D17" s="39" t="str">
        <f>Item8!C3</f>
        <v>unidade</v>
      </c>
      <c r="E17" s="39">
        <f>Item8!D3</f>
        <v>400</v>
      </c>
      <c r="F17" s="41">
        <f>Item8!E3</f>
        <v>57.1</v>
      </c>
      <c r="G17" s="41">
        <f t="shared" si="0"/>
        <v>22840</v>
      </c>
    </row>
    <row r="18" spans="1:8" ht="165.75" x14ac:dyDescent="0.2">
      <c r="B18" s="39">
        <v>9</v>
      </c>
      <c r="C18" s="40" t="str">
        <f>Item9!B3</f>
        <v xml:space="preserve">ARMÁRIO DE AÇO P/ VESTIÁRIO, 16 PORTAS,
TIPO ROUPEIRO, com as seguintes especificações:
•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Livre de arestas cortantes.
</v>
      </c>
      <c r="D18" s="39" t="str">
        <f>Item9!C3</f>
        <v>unidade</v>
      </c>
      <c r="E18" s="39">
        <f>Item9!D3</f>
        <v>30</v>
      </c>
      <c r="F18" s="41">
        <f>Item9!E3</f>
        <v>1411.67</v>
      </c>
      <c r="G18" s="41">
        <f t="shared" si="0"/>
        <v>42350.100000000006</v>
      </c>
    </row>
    <row r="19" spans="1:8" ht="165.75" x14ac:dyDescent="0.2">
      <c r="B19" s="39">
        <v>10</v>
      </c>
      <c r="C19" s="40" t="str">
        <f>Item10!B3</f>
        <v xml:space="preserve">ARMÁRIO DE AÇO P/ VESTIÁRIO, 8 PORTAS,
TIPO ROUPEIRO, com as seguintes especificações:
Dimensões externas: 1250 mm x 400 mm x 1.950 mm (lxpxh), admitidas variações de ±60 mm largura, ±50 mm para altura, e de ± 20 mm para a profundidade;
• Confeccionado em chapa de aço 22, inclusive as portas;
• Portas com, no mínimo, dois pontos de travamento e dobradiça interna;
• Venezianas para ventilação em cada porta;
• Pintura em epóxi-pó por processo eletrostático, com aspecto uniforme, sem manchas, sem deformidades, sem rugas, sem riscos, na cor cinza, com tratamento anti-corrosivo à base de fosfato de zinco;
• Base com sapatas protetoras em nylon ou polímero resistente;
• Pitão individual em aço para cadeado;
Livre de arestas cortantes
</v>
      </c>
      <c r="D19" s="39" t="str">
        <f>Item10!C3</f>
        <v>unidade</v>
      </c>
      <c r="E19" s="39">
        <f>Item10!D3</f>
        <v>30</v>
      </c>
      <c r="F19" s="41">
        <f>Item10!E3</f>
        <v>1009.36</v>
      </c>
      <c r="G19" s="41">
        <f t="shared" si="0"/>
        <v>30280.799999999999</v>
      </c>
    </row>
    <row r="20" spans="1:8" ht="153" x14ac:dyDescent="0.2">
      <c r="B20" s="39">
        <v>11</v>
      </c>
      <c r="C20" s="40" t="str">
        <f>Item11!B3</f>
        <v xml:space="preserve">ESCADA 08 DEGRAUS, com as seguintes especificações:
• Escada de abrir em alumínio com 8 degraus;
• Abertura em “A”;
• Estrutura da escada e dos degraus, inclusive do patamar superior: 100% alumínio;
• Capacidade para suportar no mínimo 120 Kg;
• Degraus e patamar antiderrapantes;
• Trava ou fita de segurança contra abertura excessiva em ambos os lados;
• Patamar largo, com travamento automático;
• Alça de apoio para as mãos na parte superior;
• Pés/sapatas antiderrapantes;
Todas as características e dimensões de acordo com a norma NBR 16308-1.
</v>
      </c>
      <c r="D20" s="39" t="str">
        <f>Item11!C3</f>
        <v>unidade</v>
      </c>
      <c r="E20" s="39">
        <f>Item11!D3</f>
        <v>60</v>
      </c>
      <c r="F20" s="41">
        <f>Item11!E3</f>
        <v>258</v>
      </c>
      <c r="G20" s="41">
        <f t="shared" si="0"/>
        <v>15480</v>
      </c>
    </row>
    <row r="21" spans="1:8" ht="89.25" x14ac:dyDescent="0.2">
      <c r="B21" s="39">
        <v>12</v>
      </c>
      <c r="C21" s="40" t="str">
        <f>Item12!B3</f>
        <v xml:space="preserve">CADEIRA FIXA SEM BRAÇO, com as seguintes especificações:
• Assento e encosto produzido em polipropileno na cor branca.
• Pernas em aço com acabamento cromado ou em pintura eletroestática na cor cinza, com tratamento  anticorrosivo e com pés e/ou sapatas antiderrapantes.
 Medindo 51 cm (comprimento), 52 cm (largura) e 84 cm (altura) admitindo-se variações de ±3 cm no comprimento e na largura e ±4 cm na altura. Resistente à carga estática de no mínimo 140 kg
</v>
      </c>
      <c r="D21" s="39" t="str">
        <f>Item12!C3</f>
        <v>unidade</v>
      </c>
      <c r="E21" s="39">
        <f>Item12!D3</f>
        <v>150</v>
      </c>
      <c r="F21" s="41">
        <f>Item12!E3</f>
        <v>79.989999999999995</v>
      </c>
      <c r="G21" s="41">
        <f t="shared" si="0"/>
        <v>11998.5</v>
      </c>
    </row>
    <row r="22" spans="1:8" ht="140.25" x14ac:dyDescent="0.2">
      <c r="B22" s="39">
        <v>13</v>
      </c>
      <c r="C22" s="40" t="str">
        <f>Item13!B3</f>
        <v xml:space="preserve">CADEIRA UNIVERSITÁRIA DIRETOR ESTOFADA COM PRANCHETA ESCAMOTEÁVEL (REBATÍVEL)
• Assento e encosto feito de madeira compensada multilaminada com espessura de 15 mm (±4 mm) revestida por espuma.
• Assento e encosto revestidos em couro ecológico na cor preta.
• Estrutura tubular fixa em aço com tratamento anticorrosivo e pintura epóxi.
• União entre encosto e assento em lamina de aço
• Prancheta em MDF revestida em laminado melamínico na cor branca ou cinza.
• Resistente à carga estática de no mínimo 140 kg.
• Dimensões:
Medindo 46 cm (comprimento), 48 cm (largura) altura até o assento 45cm admitindo-se variações de ±3 cm no comprimento e na largura e ±4 cm na altura
</v>
      </c>
      <c r="D22" s="39" t="str">
        <f>Item13!C3</f>
        <v>unidade</v>
      </c>
      <c r="E22" s="39">
        <f>Item13!D3</f>
        <v>38</v>
      </c>
      <c r="F22" s="41">
        <f>Item13!E3</f>
        <v>608.12</v>
      </c>
      <c r="G22" s="41">
        <f t="shared" si="0"/>
        <v>23108.560000000001</v>
      </c>
    </row>
    <row r="23" spans="1:8" ht="89.25" x14ac:dyDescent="0.2">
      <c r="B23" s="39">
        <v>14</v>
      </c>
      <c r="C23" s="40" t="str">
        <f>Item14!B3</f>
        <v xml:space="preserve">CADEIRA FIXA SEM BRAÇO
• Assento e encosto estofados, cor preta, com no mínimo 30 mm de espuma.
• Estrutura fixa de 4 pernas em aço na cor preta, com tratamento anticorrosivo e com pés e/ou sapatas antiderrapantes.
• Resistente à carga estática de no mínimo 120 kg.
• Altura até o assento entre 420-480 mm e altura até encosto entre 740-820 mm.
Largura do assento entre 420-500 mm e profundidade 450-500 mm.
</v>
      </c>
      <c r="D23" s="39" t="str">
        <f>Item14!C3</f>
        <v>unidade</v>
      </c>
      <c r="E23" s="39">
        <f>Item14!D3</f>
        <v>60</v>
      </c>
      <c r="F23" s="41">
        <f>Item14!E3</f>
        <v>110</v>
      </c>
      <c r="G23" s="41">
        <f t="shared" si="0"/>
        <v>6600</v>
      </c>
    </row>
    <row r="24" spans="1:8" ht="153" x14ac:dyDescent="0.2">
      <c r="B24" s="39">
        <v>15</v>
      </c>
      <c r="C24" s="40" t="str">
        <f>Item15!B3</f>
        <v xml:space="preserve">BANCADA DE TESTE DE URNA
• Dimensões: 2.200 mm x 750 mm x 850 mm (LxPxH), admitidas variações de 10 mm;
• Estrutura em aço e pintura epóxi-pó na cor preta, com reforço transversal e longitudinal na base;
• Tampo em MDF, revestido com papel metalaminico na cor bege, com espessura de 30mm (variação de 5 mm);
• Duto de aço, instalado acima do tampo para passagem de cabos de 0,25 mm2, perfil retangular ou quadrado com largura de 50 mm, dimensões de 2.100 mm x 550 mm (LxH), pintura em epóxi-pó na cor preta, fixado diretamente na estrutura de aço da mesa trespassando o tampo, sendo a parte superior do duto removível;
• com 9 tomadas (NBR 14136:2002) instaladas e conectadas com cabo flexível PP 2x0,25 mm2, de 4,8m de comprimento, sendo 1,5 externo com plugue macho (NBR 14136:2002) conectado na extremidade;
Todas as especificações acima devem atender ao projeto constante do Anexo A.1 
</v>
      </c>
      <c r="D24" s="39" t="str">
        <f>Item15!C3</f>
        <v>unidade</v>
      </c>
      <c r="E24" s="39">
        <f>Item15!D3</f>
        <v>15</v>
      </c>
      <c r="F24" s="41">
        <f>Item15!E3</f>
        <v>2522.62</v>
      </c>
      <c r="G24" s="41">
        <f t="shared" si="0"/>
        <v>37839.299999999996</v>
      </c>
    </row>
    <row r="25" spans="1:8" ht="63.75" x14ac:dyDescent="0.2">
      <c r="B25" s="39">
        <v>16</v>
      </c>
      <c r="C25" s="40" t="str">
        <f>Item16!B3</f>
        <v xml:space="preserve">CAMA DOBRÁVEL DE CAMPANHA EM AÇO, COM COLCHONETE D-20
• Capacidade mínima de 120Kg;
• Medidas da Estrutura no mínimo de: 1,94 x 0,71 x 0,26m;
• Medidas do colchonete no mínimo de: 1,90 x 0,70 x 0,08m
</v>
      </c>
      <c r="D25" s="39" t="str">
        <f>Item16!C3</f>
        <v>unidade</v>
      </c>
      <c r="E25" s="39">
        <f>Item16!D3</f>
        <v>10</v>
      </c>
      <c r="F25" s="41">
        <f>Item16!E3</f>
        <v>649.29999999999995</v>
      </c>
      <c r="G25" s="41">
        <f t="shared" si="0"/>
        <v>6493</v>
      </c>
    </row>
    <row r="26" spans="1:8" ht="140.25" x14ac:dyDescent="0.2">
      <c r="A26" s="64" t="s">
        <v>184</v>
      </c>
      <c r="B26" s="45">
        <v>17</v>
      </c>
      <c r="C26" s="40" t="str">
        <f>Item17!B3</f>
        <v>SOFÁ DE 01 LUGAR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cm.
• Armação estrutural em madeira ou aço.
• Dimensões:
Largura total: 760 mm a 800 mm Altura total: 780 a 820 mm
• Altura até o assento: 440 a 460 mm
• Profundidade: 780 mm a 820 mm
Todos os itens deste lote devem ser do mesmo modelo, respeitando padrão de cor, estética e tipo de material.</v>
      </c>
      <c r="D26" s="39" t="str">
        <f>Item17!C3</f>
        <v>unidade</v>
      </c>
      <c r="E26" s="39">
        <f>Item17!D3</f>
        <v>20</v>
      </c>
      <c r="F26" s="41">
        <f>Item17!E3</f>
        <v>1982.72</v>
      </c>
      <c r="G26" s="46">
        <f t="shared" si="0"/>
        <v>39654.400000000001</v>
      </c>
      <c r="H26" s="48">
        <f>SUM(G26:G28)</f>
        <v>99788</v>
      </c>
    </row>
    <row r="27" spans="1:8" ht="153" x14ac:dyDescent="0.2">
      <c r="A27" s="65"/>
      <c r="B27" s="45">
        <v>18</v>
      </c>
      <c r="C27" s="40" t="str">
        <f>Item18!B3</f>
        <v>SOFÁ DE 02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 Dimensões:
Largura total: 1330 mm a 1380 mm Altura total: 780 a 820 mm
• Altura até o assento: 440 a 460 mm
Profundidade: 780 mm a 820 mm
Todos os itens deste lote devem ser do mesmo modelo, respeitando padrão de cor, estética e tipo de material</v>
      </c>
      <c r="D27" s="39" t="str">
        <f>Item18!C3</f>
        <v>unidade</v>
      </c>
      <c r="E27" s="39">
        <f>Item18!D3</f>
        <v>20</v>
      </c>
      <c r="F27" s="41">
        <f>Item18!E3</f>
        <v>1600.27</v>
      </c>
      <c r="G27" s="46">
        <f t="shared" si="0"/>
        <v>32005.4</v>
      </c>
      <c r="H27" s="60" t="s">
        <v>185</v>
      </c>
    </row>
    <row r="28" spans="1:8" ht="114.75" x14ac:dyDescent="0.2">
      <c r="A28" s="66"/>
      <c r="B28" s="45">
        <v>19</v>
      </c>
      <c r="C28" s="40" t="str">
        <f>Item19!B3</f>
        <v>SOFÁ DE 03 LUGARES COM BRAÇOS
• Revestimento similar a couro na cor preta
• Almofada do assento solta, de fácil retirada do revestimento através de zíper ou velcro, composta por uma camada de espuma D-28 Soft ou D-33 Soft com espessura entre 14 a 18 cm.
• Almofada do encosto e do braço, com uma camada de espuma D-23 Soft ou D-28 Soft com espessura de 10 cm a 15.
• Armação estrutural em madeira ou aço. Dimensões: Largura total: 1880 mm a 1920 mm
Altura total: 780 a 820 mm
• Altura até o assento: 440 a 460 mm Profundidade: 780 mm a 820 mm
Todos os itens deste lote devem ser do mesmo modelo, respeitando padrão de cor, estética e tipo de material.</v>
      </c>
      <c r="D28" s="39" t="str">
        <f>Item19!C3</f>
        <v>unidade</v>
      </c>
      <c r="E28" s="39">
        <f>Item19!D3</f>
        <v>20</v>
      </c>
      <c r="F28" s="41">
        <f>Item19!E3</f>
        <v>1406.41</v>
      </c>
      <c r="G28" s="46">
        <f t="shared" si="0"/>
        <v>28128.2</v>
      </c>
      <c r="H28" s="61"/>
    </row>
    <row r="29" spans="1:8" ht="178.5" x14ac:dyDescent="0.2">
      <c r="B29" s="39">
        <v>20</v>
      </c>
      <c r="C29" s="40" t="str">
        <f>Item20!B3</f>
        <v xml:space="preserve">ESTANTE EM AÇO ABERTA, com as seguintes especificações:
• Dimensões: 920 mm x 400 mm x 1.980 mm (lxpxh), admitidas variações de ± 50 mm para largura e profundidade e ± 20 mm para altura;
• Pintura em epóxi-pó por processo eletrostático, com aspecto uniforme, sem manchas, sem deformidades, sem rugas, sem riscos, na cor cinza, com tratamento anti-corrosivo à base de fosfato de zinco;
• Com lateral e fundo abertos, com duas tiras em aço de reforço, em "X", nas partes superior e inferior de cada lateral (total de quatro) e uma no fundo, com largura mínima de 20 mm;
• Colunas sustentando as prateleiras, chapa de aço 14, estrutura em perfil “L” com dimensões mínimas de 30 x 30 mm, com perfurações que possibilitem graduações das prateleiras a cada 50 mm de altura;
• Seis prateleiras reguláveis, capacidade de carga uniforme individual de, no mínimo, 90 kg, fabricadas em, no mínimo, chapa de aço 22, com três dobras, afixadas por meio de parafusos de aço;
• Livre de arestas cortantes;
• Sapatas protetoras em nylon ou polímero resistente para evitar danos ao piso.
</v>
      </c>
      <c r="D29" s="39" t="str">
        <f>Item20!C3</f>
        <v>unidade</v>
      </c>
      <c r="E29" s="39">
        <f>Item20!D3</f>
        <v>150</v>
      </c>
      <c r="F29" s="41">
        <f>Item20!E3</f>
        <v>493.97</v>
      </c>
      <c r="G29" s="41">
        <f t="shared" si="0"/>
        <v>74095.5</v>
      </c>
    </row>
    <row r="30" spans="1:8" ht="140.25" x14ac:dyDescent="0.2">
      <c r="B30" s="39">
        <v>21</v>
      </c>
      <c r="C30" s="47" t="str">
        <f>Item21!B3</f>
        <v xml:space="preserve">CADEIRA UNIVERSITÁRIA DIRETOR ESTOFADA COM PRANCHETA ESCAMOTEÁVEL (REBATÍVEL)
• Assento e encosto feito de madeira compensada multilaminada com espessura de 15 mm (±4 mm) revestida por espuma.
• Assento e encosto revestidos em couro ecológico na cor preta.
• Estrutura tubular fixa em aço com tratamento anticorrosivo e pintura epóxi.
• União entre encosto e assento em lamina de aço
• Prancheta em MDF revestida em laminado melamínico na cor branca ou cinza.
• Resistente à carga estática de no mínimo 140 kg.
• Dimensões:
Medindo 46 cm (comprimento), 48 cm (largura) altura até o assento 45cm admitindo-se variações de ±3 cm no comprimento e na largura e ±4 cm na altura
</v>
      </c>
      <c r="D30" s="39" t="str">
        <f>Item21!C3</f>
        <v>unidade</v>
      </c>
      <c r="E30" s="39">
        <f>Item21!D3</f>
        <v>112</v>
      </c>
      <c r="F30" s="41">
        <f>Item21!E3</f>
        <v>608.12</v>
      </c>
      <c r="G30" s="41">
        <f t="shared" si="0"/>
        <v>68109.440000000002</v>
      </c>
    </row>
    <row r="31" spans="1:8" ht="153" x14ac:dyDescent="0.2">
      <c r="B31" s="39">
        <v>22</v>
      </c>
      <c r="C31" s="47" t="str">
        <f>Item22!B3</f>
        <v xml:space="preserve">BANCADA DE TESTE DE URNA
• Dimensões: 2.200 mm x 750 mm x 850 mm (LxPxH), admitidas variações de 10 mm;
• Estrutura em aço e pintura epóxi-pó na cor preta, com reforço transversal e longitudinal na base;
• Tampo em MDF, revestido com papel metalaminico na cor bege, com espessura de 30mm (variação de 5 mm);
• Duto de aço, instalado acima do tampo para passagem de cabos de 0,25 mm2, perfil retangular ou quadrado com largura de 50 mm, dimensões de 2.100 mm x 550 mm (LxH), pintura em epóxi-pó na cor preta, fixado diretamente na estrutura de aço da mesa trespassando o tampo, sendo a parte superior do duto removível;
• com 9 tomadas (NBR 14136:2002) instaladas e conectadas com cabo flexível PP 2x0,25 mm2, de 4,8m de comprimento, sendo 1,5 externo com plugue macho (NBR 14136:2002) conectado na extremidade;
Todas as especificações acima devem atender ao projeto constante do Anexo A.1 
</v>
      </c>
      <c r="D31" s="39" t="str">
        <f>Item22!C3</f>
        <v>unidade</v>
      </c>
      <c r="E31" s="39">
        <f>Item22!D3</f>
        <v>45</v>
      </c>
      <c r="F31" s="41">
        <f>Item22!E3</f>
        <v>2522.62</v>
      </c>
      <c r="G31" s="41">
        <f t="shared" si="0"/>
        <v>113517.9</v>
      </c>
    </row>
    <row r="32" spans="1:8" ht="15.75" customHeight="1" x14ac:dyDescent="0.25">
      <c r="B32" s="43"/>
      <c r="C32" s="43"/>
      <c r="D32" s="63" t="s">
        <v>89</v>
      </c>
      <c r="E32" s="63"/>
      <c r="F32" s="63"/>
      <c r="G32" s="44">
        <f>SUM(G10:G31)</f>
        <v>787601.00000000012</v>
      </c>
    </row>
  </sheetData>
  <mergeCells count="6">
    <mergeCell ref="A26:A28"/>
    <mergeCell ref="H27:H28"/>
    <mergeCell ref="B5:G5"/>
    <mergeCell ref="B6:G6"/>
    <mergeCell ref="B8:G8"/>
    <mergeCell ref="D32:F32"/>
  </mergeCells>
  <pageMargins left="0.51181102362204722" right="0.51181102362204722" top="0.78740157480314965" bottom="0.94488188976377963" header="0.51181102362204722" footer="0.78740157480314965"/>
  <pageSetup paperSize="9" scale="78" firstPageNumber="0" fitToHeight="0" orientation="landscape" horizontalDpi="300" verticalDpi="300" r:id="rId1"/>
  <headerFooter>
    <oddFooter>&amp;L&amp;"Calibri,Regular"&amp;12Estimativa em &amp;D</oddFooter>
  </headerFooter>
  <rowBreaks count="8" manualBreakCount="8">
    <brk id="10" max="7" man="1"/>
    <brk id="12" max="7" man="1"/>
    <brk id="14" max="7" man="1"/>
    <brk id="17" max="7" man="1"/>
    <brk id="21" max="7" man="1"/>
    <brk id="23" max="7" man="1"/>
    <brk id="25" max="7" man="1"/>
    <brk id="28"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6" sqref="G6"/>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30</v>
      </c>
      <c r="B2" s="2" t="s">
        <v>2</v>
      </c>
      <c r="C2" s="2" t="s">
        <v>3</v>
      </c>
      <c r="D2" s="2" t="s">
        <v>4</v>
      </c>
      <c r="E2" s="3" t="s">
        <v>5</v>
      </c>
      <c r="F2" s="3" t="s">
        <v>6</v>
      </c>
      <c r="G2" s="2" t="s">
        <v>7</v>
      </c>
      <c r="H2" s="4" t="s">
        <v>8</v>
      </c>
      <c r="I2" s="5" t="s">
        <v>9</v>
      </c>
    </row>
    <row r="3" spans="1:9" ht="12.75" customHeight="1" x14ac:dyDescent="0.2">
      <c r="A3" s="50"/>
      <c r="B3" s="59" t="s">
        <v>94</v>
      </c>
      <c r="C3" s="52" t="s">
        <v>28</v>
      </c>
      <c r="D3" s="53">
        <v>120</v>
      </c>
      <c r="E3" s="54">
        <f>IF(C20&lt;=25%,D20,MIN(E20:F20))</f>
        <v>156.66999999999999</v>
      </c>
      <c r="F3" s="54">
        <f>MIN(H3:H17)</f>
        <v>95</v>
      </c>
      <c r="G3" s="6" t="s">
        <v>135</v>
      </c>
      <c r="H3" s="7">
        <v>95</v>
      </c>
      <c r="I3" s="8">
        <f t="shared" ref="I3:I17" si="0">IF(H3="","",(IF($C$20&lt;25%,"N/A",IF(H3&lt;=($D$20+$A$20),H3,"Descartado"))))</f>
        <v>95</v>
      </c>
    </row>
    <row r="4" spans="1:9" x14ac:dyDescent="0.2">
      <c r="A4" s="50"/>
      <c r="B4" s="59"/>
      <c r="C4" s="52"/>
      <c r="D4" s="53"/>
      <c r="E4" s="54"/>
      <c r="F4" s="54"/>
      <c r="G4" s="6" t="s">
        <v>136</v>
      </c>
      <c r="H4" s="7">
        <v>175</v>
      </c>
      <c r="I4" s="8">
        <f t="shared" si="0"/>
        <v>175</v>
      </c>
    </row>
    <row r="5" spans="1:9" x14ac:dyDescent="0.2">
      <c r="A5" s="50"/>
      <c r="B5" s="59"/>
      <c r="C5" s="52"/>
      <c r="D5" s="53"/>
      <c r="E5" s="54"/>
      <c r="F5" s="54"/>
      <c r="G5" s="6" t="s">
        <v>137</v>
      </c>
      <c r="H5" s="7">
        <v>200</v>
      </c>
      <c r="I5" s="8">
        <f t="shared" si="0"/>
        <v>200</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54.848275573014469</v>
      </c>
      <c r="B20" s="19">
        <f>COUNT(H3:H17)</f>
        <v>3</v>
      </c>
      <c r="C20" s="20">
        <f>IF(B20&lt;2,"N/A",(A20/D20))</f>
        <v>0.35008792731866006</v>
      </c>
      <c r="D20" s="21">
        <f>ROUND(AVERAGE(H3:H17),2)</f>
        <v>156.66999999999999</v>
      </c>
      <c r="E20" s="22">
        <f>IFERROR(ROUND(IF(B20&lt;2,"N/A",(IF(C20&lt;=25%,"N/A",AVERAGE(I3:I17)))),2),"N/A")</f>
        <v>156.66999999999999</v>
      </c>
      <c r="F20" s="22">
        <f>ROUND(MEDIAN(H3:H17),2)</f>
        <v>175</v>
      </c>
      <c r="G20" s="23" t="str">
        <f>INDEX(G3:G17,MATCH(H20,H3:H17,0))</f>
        <v>J R D BRANDAO EIRELI</v>
      </c>
      <c r="H20" s="24">
        <f>MIN(H3:H17)</f>
        <v>95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156.66999999999999</v>
      </c>
    </row>
    <row r="23" spans="1:11" x14ac:dyDescent="0.2">
      <c r="B23" s="25"/>
      <c r="C23" s="25"/>
      <c r="D23" s="56"/>
      <c r="E23" s="56"/>
      <c r="F23" s="33"/>
      <c r="G23" s="4" t="s">
        <v>18</v>
      </c>
      <c r="H23" s="24">
        <f>ROUND(H22,2)*D3</f>
        <v>18800.399999999998</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10" sqref="G10"/>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32</v>
      </c>
      <c r="B2" s="2" t="s">
        <v>2</v>
      </c>
      <c r="C2" s="2" t="s">
        <v>3</v>
      </c>
      <c r="D2" s="2" t="s">
        <v>4</v>
      </c>
      <c r="E2" s="3" t="s">
        <v>5</v>
      </c>
      <c r="F2" s="3" t="s">
        <v>6</v>
      </c>
      <c r="G2" s="2" t="s">
        <v>7</v>
      </c>
      <c r="H2" s="4" t="s">
        <v>8</v>
      </c>
      <c r="I2" s="5" t="s">
        <v>9</v>
      </c>
    </row>
    <row r="3" spans="1:9" ht="12.75" customHeight="1" x14ac:dyDescent="0.2">
      <c r="A3" s="50"/>
      <c r="B3" s="59" t="s">
        <v>95</v>
      </c>
      <c r="C3" s="52" t="s">
        <v>28</v>
      </c>
      <c r="D3" s="53">
        <v>200</v>
      </c>
      <c r="E3" s="54">
        <f>IF(C20&lt;=25%,D20,MIN(E20:F20))</f>
        <v>95.45</v>
      </c>
      <c r="F3" s="54">
        <f>MIN(H3:H17)</f>
        <v>76.56</v>
      </c>
      <c r="G3" s="6" t="s">
        <v>107</v>
      </c>
      <c r="H3" s="7">
        <v>76.56</v>
      </c>
      <c r="I3" s="8">
        <f t="shared" ref="I3:I17" si="0">IF(H3="","",(IF($C$20&lt;25%,"N/A",IF(H3&lt;=($D$20+$A$20),H3,"Descartado"))))</f>
        <v>76.56</v>
      </c>
    </row>
    <row r="4" spans="1:9" x14ac:dyDescent="0.2">
      <c r="A4" s="50"/>
      <c r="B4" s="59"/>
      <c r="C4" s="52"/>
      <c r="D4" s="53"/>
      <c r="E4" s="54"/>
      <c r="F4" s="54"/>
      <c r="G4" s="6" t="s">
        <v>108</v>
      </c>
      <c r="H4" s="7">
        <v>80</v>
      </c>
      <c r="I4" s="8">
        <f t="shared" si="0"/>
        <v>80</v>
      </c>
    </row>
    <row r="5" spans="1:9" x14ac:dyDescent="0.2">
      <c r="A5" s="50"/>
      <c r="B5" s="59"/>
      <c r="C5" s="52"/>
      <c r="D5" s="53"/>
      <c r="E5" s="54"/>
      <c r="F5" s="54"/>
      <c r="G5" s="6" t="s">
        <v>109</v>
      </c>
      <c r="H5" s="7">
        <v>85.32</v>
      </c>
      <c r="I5" s="8">
        <f t="shared" si="0"/>
        <v>85.32</v>
      </c>
    </row>
    <row r="6" spans="1:9" x14ac:dyDescent="0.2">
      <c r="A6" s="50"/>
      <c r="B6" s="59"/>
      <c r="C6" s="52"/>
      <c r="D6" s="53"/>
      <c r="E6" s="54"/>
      <c r="F6" s="54"/>
      <c r="G6" s="6" t="s">
        <v>110</v>
      </c>
      <c r="H6" s="7">
        <v>97.83</v>
      </c>
      <c r="I6" s="8">
        <f t="shared" si="0"/>
        <v>97.83</v>
      </c>
    </row>
    <row r="7" spans="1:9" x14ac:dyDescent="0.2">
      <c r="A7" s="50"/>
      <c r="B7" s="59"/>
      <c r="C7" s="52"/>
      <c r="D7" s="53"/>
      <c r="E7" s="54"/>
      <c r="F7" s="54"/>
      <c r="G7" s="6" t="s">
        <v>111</v>
      </c>
      <c r="H7" s="7">
        <v>98.97</v>
      </c>
      <c r="I7" s="8">
        <f t="shared" si="0"/>
        <v>98.97</v>
      </c>
    </row>
    <row r="8" spans="1:9" x14ac:dyDescent="0.2">
      <c r="A8" s="50"/>
      <c r="B8" s="59"/>
      <c r="C8" s="52"/>
      <c r="D8" s="53"/>
      <c r="E8" s="54"/>
      <c r="F8" s="54"/>
      <c r="G8" s="6" t="s">
        <v>112</v>
      </c>
      <c r="H8" s="7">
        <v>134</v>
      </c>
      <c r="I8" s="8">
        <f t="shared" si="0"/>
        <v>134</v>
      </c>
    </row>
    <row r="9" spans="1:9" x14ac:dyDescent="0.2">
      <c r="A9" s="50"/>
      <c r="B9" s="59"/>
      <c r="C9" s="52"/>
      <c r="D9" s="53"/>
      <c r="E9" s="54"/>
      <c r="F9" s="54"/>
      <c r="G9" s="6" t="s">
        <v>113</v>
      </c>
      <c r="H9" s="7">
        <v>182.29</v>
      </c>
      <c r="I9" s="8" t="str">
        <f t="shared" si="0"/>
        <v>Descartado</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38.005873105037253</v>
      </c>
      <c r="B20" s="19">
        <f>COUNT(H3:H17)</f>
        <v>7</v>
      </c>
      <c r="C20" s="20">
        <f>IF(B20&lt;2,"N/A",(A20/D20))</f>
        <v>0.35239567088583451</v>
      </c>
      <c r="D20" s="21">
        <f>ROUND(AVERAGE(H3:H17),2)</f>
        <v>107.85</v>
      </c>
      <c r="E20" s="22">
        <f>IFERROR(ROUND(IF(B20&lt;2,"N/A",(IF(C20&lt;=25%,"N/A",AVERAGE(I3:I17)))),2),"N/A")</f>
        <v>95.45</v>
      </c>
      <c r="F20" s="22">
        <f>ROUND(MEDIAN(H3:H17),2)</f>
        <v>97.83</v>
      </c>
      <c r="G20" s="23" t="str">
        <f>INDEX(G3:G17,MATCH(H20,H3:H17,0))</f>
        <v>C J M UTILIDADES LTDA</v>
      </c>
      <c r="H20" s="24">
        <f>MIN(H3:H17)</f>
        <v>76.56</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95.45</v>
      </c>
    </row>
    <row r="23" spans="1:11" x14ac:dyDescent="0.2">
      <c r="B23" s="25"/>
      <c r="C23" s="25"/>
      <c r="D23" s="56"/>
      <c r="E23" s="56"/>
      <c r="F23" s="33"/>
      <c r="G23" s="4" t="s">
        <v>18</v>
      </c>
      <c r="H23" s="24">
        <f>ROUND(H22,2)*D3</f>
        <v>19090</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6" sqref="G6"/>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33</v>
      </c>
      <c r="B2" s="2" t="s">
        <v>2</v>
      </c>
      <c r="C2" s="2" t="s">
        <v>3</v>
      </c>
      <c r="D2" s="2" t="s">
        <v>4</v>
      </c>
      <c r="E2" s="3" t="s">
        <v>5</v>
      </c>
      <c r="F2" s="3" t="s">
        <v>6</v>
      </c>
      <c r="G2" s="2" t="s">
        <v>7</v>
      </c>
      <c r="H2" s="4" t="s">
        <v>8</v>
      </c>
      <c r="I2" s="5" t="s">
        <v>9</v>
      </c>
    </row>
    <row r="3" spans="1:9" ht="12.75" customHeight="1" x14ac:dyDescent="0.2">
      <c r="A3" s="50"/>
      <c r="B3" s="59" t="s">
        <v>96</v>
      </c>
      <c r="C3" s="52" t="s">
        <v>28</v>
      </c>
      <c r="D3" s="53">
        <v>100</v>
      </c>
      <c r="E3" s="54">
        <f>IF(C20&lt;=25%,D20,MIN(E20:F20))</f>
        <v>199.49</v>
      </c>
      <c r="F3" s="54">
        <f>MIN(H3:H17)</f>
        <v>168.96</v>
      </c>
      <c r="G3" s="6" t="s">
        <v>138</v>
      </c>
      <c r="H3" s="7">
        <v>168.96</v>
      </c>
      <c r="I3" s="8" t="str">
        <f t="shared" ref="I3:I17" si="0">IF(H3="","",(IF($C$20&lt;25%,"N/A",IF(H3&lt;=($D$20+$A$20),H3,"Descartado"))))</f>
        <v>N/A</v>
      </c>
    </row>
    <row r="4" spans="1:9" x14ac:dyDescent="0.2">
      <c r="A4" s="50"/>
      <c r="B4" s="59"/>
      <c r="C4" s="52"/>
      <c r="D4" s="53"/>
      <c r="E4" s="54"/>
      <c r="F4" s="54"/>
      <c r="G4" s="6" t="s">
        <v>139</v>
      </c>
      <c r="H4" s="7">
        <v>184</v>
      </c>
      <c r="I4" s="8" t="str">
        <f t="shared" si="0"/>
        <v>N/A</v>
      </c>
    </row>
    <row r="5" spans="1:9" x14ac:dyDescent="0.2">
      <c r="A5" s="50"/>
      <c r="B5" s="59"/>
      <c r="C5" s="52"/>
      <c r="D5" s="53"/>
      <c r="E5" s="54"/>
      <c r="F5" s="54"/>
      <c r="G5" s="6" t="s">
        <v>140</v>
      </c>
      <c r="H5" s="7">
        <v>245.5</v>
      </c>
      <c r="I5" s="8" t="str">
        <f t="shared" si="0"/>
        <v>N/A</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40.552071874730622</v>
      </c>
      <c r="B20" s="19">
        <f>COUNT(H3:H17)</f>
        <v>3</v>
      </c>
      <c r="C20" s="20">
        <f>IF(B20&lt;2,"N/A",(A20/D20))</f>
        <v>0.20327872010993342</v>
      </c>
      <c r="D20" s="21">
        <f>ROUND(AVERAGE(H3:H17),2)</f>
        <v>199.49</v>
      </c>
      <c r="E20" s="22" t="str">
        <f>IFERROR(ROUND(IF(B20&lt;2,"N/A",(IF(C20&lt;=25%,"N/A",AVERAGE(I3:I17)))),2),"N/A")</f>
        <v>N/A</v>
      </c>
      <c r="F20" s="22">
        <f>ROUND(MEDIAN(H3:H17),2)</f>
        <v>184</v>
      </c>
      <c r="G20" s="23" t="str">
        <f>INDEX(G3:G17,MATCH(H20,H3:H17,0))</f>
        <v>BELTGROUP DO BRASIL LTDA</v>
      </c>
      <c r="H20" s="24">
        <f>MIN(H3:H17)</f>
        <v>168.96</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199.49</v>
      </c>
    </row>
    <row r="23" spans="1:11" x14ac:dyDescent="0.2">
      <c r="B23" s="25"/>
      <c r="C23" s="25"/>
      <c r="D23" s="56"/>
      <c r="E23" s="56"/>
      <c r="F23" s="33"/>
      <c r="G23" s="4" t="s">
        <v>18</v>
      </c>
      <c r="H23" s="24">
        <f>ROUND(H22,2)*D3</f>
        <v>19949</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7" sqref="G7"/>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34</v>
      </c>
      <c r="B2" s="2" t="s">
        <v>2</v>
      </c>
      <c r="C2" s="2" t="s">
        <v>3</v>
      </c>
      <c r="D2" s="2" t="s">
        <v>4</v>
      </c>
      <c r="E2" s="3" t="s">
        <v>5</v>
      </c>
      <c r="F2" s="3" t="s">
        <v>6</v>
      </c>
      <c r="G2" s="2" t="s">
        <v>7</v>
      </c>
      <c r="H2" s="4" t="s">
        <v>8</v>
      </c>
      <c r="I2" s="5" t="s">
        <v>9</v>
      </c>
    </row>
    <row r="3" spans="1:9" ht="12.75" customHeight="1" x14ac:dyDescent="0.2">
      <c r="A3" s="50"/>
      <c r="B3" s="59" t="s">
        <v>97</v>
      </c>
      <c r="C3" s="52" t="s">
        <v>28</v>
      </c>
      <c r="D3" s="53">
        <v>400</v>
      </c>
      <c r="E3" s="54">
        <f>IF(C20&lt;=25%,D20,MIN(E20:F20))</f>
        <v>57.1</v>
      </c>
      <c r="F3" s="54">
        <f>MIN(H3:H17)</f>
        <v>47.62</v>
      </c>
      <c r="G3" s="6" t="s">
        <v>149</v>
      </c>
      <c r="H3" s="7">
        <v>47.62</v>
      </c>
      <c r="I3" s="8" t="str">
        <f t="shared" ref="I3:I17" si="0">IF(H3="","",(IF($C$20&lt;25%,"N/A",IF(H3&lt;=($D$20+$A$20),H3,"Descartado"))))</f>
        <v>N/A</v>
      </c>
    </row>
    <row r="4" spans="1:9" x14ac:dyDescent="0.2">
      <c r="A4" s="50"/>
      <c r="B4" s="59"/>
      <c r="C4" s="52"/>
      <c r="D4" s="53"/>
      <c r="E4" s="54"/>
      <c r="F4" s="54"/>
      <c r="G4" s="6" t="s">
        <v>150</v>
      </c>
      <c r="H4" s="7">
        <v>54.86</v>
      </c>
      <c r="I4" s="8" t="str">
        <f t="shared" si="0"/>
        <v>N/A</v>
      </c>
    </row>
    <row r="5" spans="1:9" x14ac:dyDescent="0.2">
      <c r="A5" s="50"/>
      <c r="B5" s="59"/>
      <c r="C5" s="52"/>
      <c r="D5" s="53"/>
      <c r="E5" s="54"/>
      <c r="F5" s="54"/>
      <c r="G5" s="6" t="s">
        <v>151</v>
      </c>
      <c r="H5" s="7">
        <v>58</v>
      </c>
      <c r="I5" s="8" t="str">
        <f t="shared" si="0"/>
        <v>N/A</v>
      </c>
    </row>
    <row r="6" spans="1:9" x14ac:dyDescent="0.2">
      <c r="A6" s="50"/>
      <c r="B6" s="59"/>
      <c r="C6" s="52"/>
      <c r="D6" s="53"/>
      <c r="E6" s="54"/>
      <c r="F6" s="54"/>
      <c r="G6" s="6" t="s">
        <v>152</v>
      </c>
      <c r="H6" s="7">
        <v>67.900000000000006</v>
      </c>
      <c r="I6" s="8" t="str">
        <f t="shared" si="0"/>
        <v>N/A</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8.4130434445568003</v>
      </c>
      <c r="B20" s="19">
        <f>COUNT(H3:H17)</f>
        <v>4</v>
      </c>
      <c r="C20" s="20">
        <f>IF(B20&lt;2,"N/A",(A20/D20))</f>
        <v>0.14733876435300877</v>
      </c>
      <c r="D20" s="21">
        <f>ROUND(AVERAGE(H3:H17),2)</f>
        <v>57.1</v>
      </c>
      <c r="E20" s="22" t="str">
        <f>IFERROR(ROUND(IF(B20&lt;2,"N/A",(IF(C20&lt;=25%,"N/A",AVERAGE(I3:I17)))),2),"N/A")</f>
        <v>N/A</v>
      </c>
      <c r="F20" s="22">
        <f>ROUND(MEDIAN(H3:H17),2)</f>
        <v>56.43</v>
      </c>
      <c r="G20" s="23" t="str">
        <f>INDEX(G3:G17,MATCH(H20,H3:H17,0))</f>
        <v>OFFICE MAIS MOVEIS PARA ESCRITORIO EIRELI</v>
      </c>
      <c r="H20" s="24">
        <f>MIN(H3:H17)</f>
        <v>47.62</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57.1</v>
      </c>
    </row>
    <row r="23" spans="1:11" x14ac:dyDescent="0.2">
      <c r="B23" s="25"/>
      <c r="C23" s="25"/>
      <c r="D23" s="56"/>
      <c r="E23" s="56"/>
      <c r="F23" s="33"/>
      <c r="G23" s="4" t="s">
        <v>18</v>
      </c>
      <c r="H23" s="24">
        <f>ROUND(H22,2)*D3</f>
        <v>22840</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view="pageBreakPreview" zoomScaleNormal="100" workbookViewId="0">
      <selection activeCell="G6" sqref="G6"/>
    </sheetView>
  </sheetViews>
  <sheetFormatPr defaultColWidth="9.140625" defaultRowHeight="12.75" x14ac:dyDescent="0.2"/>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1024" width="9.140625" style="1"/>
  </cols>
  <sheetData>
    <row r="1" spans="1:9" ht="15.75" x14ac:dyDescent="0.25">
      <c r="A1" s="49" t="s">
        <v>0</v>
      </c>
      <c r="B1" s="49"/>
      <c r="C1" s="49"/>
      <c r="D1" s="49"/>
      <c r="E1" s="49"/>
      <c r="F1" s="49"/>
      <c r="G1" s="49"/>
      <c r="H1" s="49"/>
      <c r="I1" s="49"/>
    </row>
    <row r="2" spans="1:9" ht="25.5" x14ac:dyDescent="0.2">
      <c r="A2" s="50" t="s">
        <v>35</v>
      </c>
      <c r="B2" s="2" t="s">
        <v>2</v>
      </c>
      <c r="C2" s="2" t="s">
        <v>3</v>
      </c>
      <c r="D2" s="2" t="s">
        <v>4</v>
      </c>
      <c r="E2" s="3" t="s">
        <v>5</v>
      </c>
      <c r="F2" s="3" t="s">
        <v>6</v>
      </c>
      <c r="G2" s="2" t="s">
        <v>7</v>
      </c>
      <c r="H2" s="4" t="s">
        <v>8</v>
      </c>
      <c r="I2" s="5" t="s">
        <v>9</v>
      </c>
    </row>
    <row r="3" spans="1:9" ht="12.75" customHeight="1" x14ac:dyDescent="0.2">
      <c r="A3" s="50"/>
      <c r="B3" s="59" t="s">
        <v>98</v>
      </c>
      <c r="C3" s="52" t="s">
        <v>28</v>
      </c>
      <c r="D3" s="53">
        <v>30</v>
      </c>
      <c r="E3" s="54">
        <f>IF(C20&lt;=25%,D20,MIN(E20:F20))</f>
        <v>1411.67</v>
      </c>
      <c r="F3" s="54">
        <f>MIN(H3:H17)</f>
        <v>965</v>
      </c>
      <c r="G3" s="6" t="s">
        <v>122</v>
      </c>
      <c r="H3" s="7">
        <v>965</v>
      </c>
      <c r="I3" s="8">
        <f t="shared" ref="I3:I17" si="0">IF(H3="","",(IF($C$20&lt;25%,"N/A",IF(H3&lt;=($D$20+$A$20),H3,"Descartado"))))</f>
        <v>965</v>
      </c>
    </row>
    <row r="4" spans="1:9" x14ac:dyDescent="0.2">
      <c r="A4" s="50"/>
      <c r="B4" s="59"/>
      <c r="C4" s="52"/>
      <c r="D4" s="53"/>
      <c r="E4" s="54"/>
      <c r="F4" s="54"/>
      <c r="G4" s="6" t="s">
        <v>128</v>
      </c>
      <c r="H4" s="7">
        <v>1490</v>
      </c>
      <c r="I4" s="8">
        <f t="shared" si="0"/>
        <v>1490</v>
      </c>
    </row>
    <row r="5" spans="1:9" x14ac:dyDescent="0.2">
      <c r="A5" s="50"/>
      <c r="B5" s="59"/>
      <c r="C5" s="52"/>
      <c r="D5" s="53"/>
      <c r="E5" s="54"/>
      <c r="F5" s="54"/>
      <c r="G5" s="6" t="s">
        <v>129</v>
      </c>
      <c r="H5" s="7">
        <v>1780</v>
      </c>
      <c r="I5" s="8">
        <f t="shared" si="0"/>
        <v>1780</v>
      </c>
    </row>
    <row r="6" spans="1:9" x14ac:dyDescent="0.2">
      <c r="A6" s="50"/>
      <c r="B6" s="59"/>
      <c r="C6" s="52"/>
      <c r="D6" s="53"/>
      <c r="E6" s="54"/>
      <c r="F6" s="54"/>
      <c r="G6" s="6"/>
      <c r="H6" s="7"/>
      <c r="I6" s="8" t="str">
        <f t="shared" si="0"/>
        <v/>
      </c>
    </row>
    <row r="7" spans="1:9" x14ac:dyDescent="0.2">
      <c r="A7" s="50"/>
      <c r="B7" s="59"/>
      <c r="C7" s="52"/>
      <c r="D7" s="53"/>
      <c r="E7" s="54"/>
      <c r="F7" s="54"/>
      <c r="G7" s="6"/>
      <c r="H7" s="7"/>
      <c r="I7" s="8" t="str">
        <f t="shared" si="0"/>
        <v/>
      </c>
    </row>
    <row r="8" spans="1:9" x14ac:dyDescent="0.2">
      <c r="A8" s="50"/>
      <c r="B8" s="59"/>
      <c r="C8" s="52"/>
      <c r="D8" s="53"/>
      <c r="E8" s="54"/>
      <c r="F8" s="54"/>
      <c r="G8" s="6"/>
      <c r="H8" s="7"/>
      <c r="I8" s="8" t="str">
        <f t="shared" si="0"/>
        <v/>
      </c>
    </row>
    <row r="9" spans="1:9" x14ac:dyDescent="0.2">
      <c r="A9" s="50"/>
      <c r="B9" s="59"/>
      <c r="C9" s="52"/>
      <c r="D9" s="53"/>
      <c r="E9" s="54"/>
      <c r="F9" s="54"/>
      <c r="G9" s="6"/>
      <c r="H9" s="7"/>
      <c r="I9" s="8" t="str">
        <f t="shared" si="0"/>
        <v/>
      </c>
    </row>
    <row r="10" spans="1:9" x14ac:dyDescent="0.2">
      <c r="A10" s="50"/>
      <c r="B10" s="59"/>
      <c r="C10" s="52"/>
      <c r="D10" s="53"/>
      <c r="E10" s="54"/>
      <c r="F10" s="54"/>
      <c r="G10" s="6"/>
      <c r="H10" s="7"/>
      <c r="I10" s="8" t="str">
        <f t="shared" si="0"/>
        <v/>
      </c>
    </row>
    <row r="11" spans="1:9" x14ac:dyDescent="0.2">
      <c r="A11" s="50"/>
      <c r="B11" s="59"/>
      <c r="C11" s="52"/>
      <c r="D11" s="53"/>
      <c r="E11" s="54"/>
      <c r="F11" s="54"/>
      <c r="G11" s="6"/>
      <c r="H11" s="7"/>
      <c r="I11" s="8" t="str">
        <f t="shared" si="0"/>
        <v/>
      </c>
    </row>
    <row r="12" spans="1:9" x14ac:dyDescent="0.2">
      <c r="A12" s="50"/>
      <c r="B12" s="59"/>
      <c r="C12" s="52"/>
      <c r="D12" s="53"/>
      <c r="E12" s="54"/>
      <c r="F12" s="54"/>
      <c r="G12" s="6"/>
      <c r="H12" s="7"/>
      <c r="I12" s="8" t="str">
        <f t="shared" si="0"/>
        <v/>
      </c>
    </row>
    <row r="13" spans="1:9" x14ac:dyDescent="0.2">
      <c r="A13" s="50"/>
      <c r="B13" s="59"/>
      <c r="C13" s="52"/>
      <c r="D13" s="53"/>
      <c r="E13" s="54"/>
      <c r="F13" s="54"/>
      <c r="G13" s="6"/>
      <c r="H13" s="7"/>
      <c r="I13" s="8" t="str">
        <f t="shared" si="0"/>
        <v/>
      </c>
    </row>
    <row r="14" spans="1:9" x14ac:dyDescent="0.2">
      <c r="A14" s="50"/>
      <c r="B14" s="59"/>
      <c r="C14" s="52"/>
      <c r="D14" s="53"/>
      <c r="E14" s="54"/>
      <c r="F14" s="54"/>
      <c r="G14" s="6"/>
      <c r="H14" s="7"/>
      <c r="I14" s="8" t="str">
        <f t="shared" si="0"/>
        <v/>
      </c>
    </row>
    <row r="15" spans="1:9" x14ac:dyDescent="0.2">
      <c r="A15" s="50"/>
      <c r="B15" s="59"/>
      <c r="C15" s="52"/>
      <c r="D15" s="53"/>
      <c r="E15" s="54"/>
      <c r="F15" s="54"/>
      <c r="G15" s="6"/>
      <c r="H15" s="7"/>
      <c r="I15" s="8" t="str">
        <f t="shared" si="0"/>
        <v/>
      </c>
    </row>
    <row r="16" spans="1:9" x14ac:dyDescent="0.2">
      <c r="A16" s="50"/>
      <c r="B16" s="59"/>
      <c r="C16" s="52"/>
      <c r="D16" s="53"/>
      <c r="E16" s="54"/>
      <c r="F16" s="54"/>
      <c r="G16" s="6"/>
      <c r="H16" s="7"/>
      <c r="I16" s="8" t="str">
        <f t="shared" si="0"/>
        <v/>
      </c>
    </row>
    <row r="17" spans="1:11" x14ac:dyDescent="0.2">
      <c r="A17" s="50"/>
      <c r="B17" s="59"/>
      <c r="C17" s="52"/>
      <c r="D17" s="53"/>
      <c r="E17" s="54"/>
      <c r="F17" s="54"/>
      <c r="G17" s="6"/>
      <c r="H17" s="7"/>
      <c r="I17" s="8" t="str">
        <f t="shared" si="0"/>
        <v/>
      </c>
    </row>
    <row r="18" spans="1:11" x14ac:dyDescent="0.2">
      <c r="A18" s="9"/>
      <c r="B18" s="10"/>
      <c r="C18" s="11"/>
      <c r="D18" s="11"/>
      <c r="E18" s="12"/>
      <c r="F18" s="12"/>
      <c r="G18" s="13"/>
      <c r="H18" s="13"/>
      <c r="I18" s="14"/>
      <c r="J18" s="15"/>
      <c r="K18" s="15"/>
    </row>
    <row r="19" spans="1:11" ht="25.5" x14ac:dyDescent="0.2">
      <c r="A19" s="5" t="s">
        <v>10</v>
      </c>
      <c r="B19" s="5" t="s">
        <v>11</v>
      </c>
      <c r="C19" s="4" t="s">
        <v>12</v>
      </c>
      <c r="D19" s="16" t="s">
        <v>13</v>
      </c>
      <c r="E19" s="17" t="s">
        <v>14</v>
      </c>
      <c r="F19" s="16" t="s">
        <v>15</v>
      </c>
      <c r="G19" s="55" t="s">
        <v>16</v>
      </c>
      <c r="H19" s="55"/>
      <c r="I19" s="18"/>
    </row>
    <row r="20" spans="1:11" x14ac:dyDescent="0.2">
      <c r="A20" s="19">
        <f>IF(B20&lt;2,"N/A",(STDEV(H3:H17)))</f>
        <v>413.1081375782054</v>
      </c>
      <c r="B20" s="19">
        <f>COUNT(H3:H17)</f>
        <v>3</v>
      </c>
      <c r="C20" s="20">
        <f>IF(B20&lt;2,"N/A",(A20/D20))</f>
        <v>0.29263789524336803</v>
      </c>
      <c r="D20" s="21">
        <f>ROUND(AVERAGE(H3:H17),2)</f>
        <v>1411.67</v>
      </c>
      <c r="E20" s="22">
        <f>IFERROR(ROUND(IF(B20&lt;2,"N/A",(IF(C20&lt;=25%,"N/A",AVERAGE(I3:I17)))),2),"N/A")</f>
        <v>1411.67</v>
      </c>
      <c r="F20" s="22">
        <f>ROUND(MEDIAN(H3:H17),2)</f>
        <v>1490</v>
      </c>
      <c r="G20" s="23" t="str">
        <f>INDEX(G3:G17,MATCH(H20,H3:H17,0))</f>
        <v>ARAUJO MOVEIS E TRANSPORTES LTDA</v>
      </c>
      <c r="H20" s="24">
        <f>MIN(H3:H17)</f>
        <v>965</v>
      </c>
      <c r="I20" s="18"/>
    </row>
    <row r="21" spans="1:11" x14ac:dyDescent="0.2">
      <c r="A21" s="25"/>
      <c r="B21" s="18"/>
      <c r="C21" s="26"/>
      <c r="D21" s="26"/>
      <c r="E21" s="26"/>
      <c r="F21" s="26"/>
      <c r="G21" s="18"/>
      <c r="H21" s="27"/>
      <c r="I21" s="28"/>
      <c r="J21" s="28"/>
      <c r="K21" s="28"/>
    </row>
    <row r="22" spans="1:11" x14ac:dyDescent="0.2">
      <c r="B22" s="25"/>
      <c r="C22" s="25"/>
      <c r="D22" s="56"/>
      <c r="E22" s="56"/>
      <c r="F22" s="30"/>
      <c r="G22" s="31" t="s">
        <v>17</v>
      </c>
      <c r="H22" s="32">
        <f>IF(C20&lt;=25%,D20,MIN(E20:F20))</f>
        <v>1411.67</v>
      </c>
    </row>
    <row r="23" spans="1:11" x14ac:dyDescent="0.2">
      <c r="B23" s="25"/>
      <c r="C23" s="25"/>
      <c r="D23" s="56"/>
      <c r="E23" s="56"/>
      <c r="F23" s="33"/>
      <c r="G23" s="4" t="s">
        <v>18</v>
      </c>
      <c r="H23" s="24">
        <f>ROUND(H22,2)*D3</f>
        <v>42350.100000000006</v>
      </c>
    </row>
    <row r="24" spans="1:11" x14ac:dyDescent="0.2">
      <c r="B24" s="29"/>
      <c r="C24" s="29"/>
      <c r="D24" s="18"/>
      <c r="E24" s="18"/>
    </row>
    <row r="26" spans="1:11" ht="12.75" customHeight="1" x14ac:dyDescent="0.2">
      <c r="A26" s="57" t="s">
        <v>19</v>
      </c>
      <c r="B26" s="57"/>
      <c r="C26" s="57"/>
      <c r="D26" s="57"/>
      <c r="E26" s="57"/>
      <c r="F26" s="57"/>
      <c r="G26" s="57"/>
      <c r="H26" s="57"/>
      <c r="I26" s="57"/>
    </row>
    <row r="27" spans="1:11" ht="12.75" customHeight="1" x14ac:dyDescent="0.2">
      <c r="A27" s="57" t="s">
        <v>20</v>
      </c>
      <c r="B27" s="57"/>
      <c r="C27" s="57"/>
      <c r="D27" s="57"/>
      <c r="E27" s="57"/>
      <c r="F27" s="57"/>
      <c r="G27" s="57"/>
      <c r="H27" s="57"/>
      <c r="I27" s="57"/>
    </row>
    <row r="28" spans="1:11" ht="12.75" customHeight="1" x14ac:dyDescent="0.2">
      <c r="A28" s="57" t="s">
        <v>21</v>
      </c>
      <c r="B28" s="57"/>
      <c r="C28" s="57"/>
      <c r="D28" s="57"/>
      <c r="E28" s="57"/>
      <c r="F28" s="57"/>
      <c r="G28" s="57"/>
      <c r="H28" s="57"/>
      <c r="I28" s="57"/>
    </row>
    <row r="29" spans="1:11" ht="12.75" customHeight="1" x14ac:dyDescent="0.2">
      <c r="A29" s="57" t="s">
        <v>22</v>
      </c>
      <c r="B29" s="57"/>
      <c r="C29" s="57"/>
      <c r="D29" s="57"/>
      <c r="E29" s="57"/>
      <c r="F29" s="57"/>
      <c r="G29" s="57"/>
      <c r="H29" s="57"/>
      <c r="I29" s="57"/>
    </row>
    <row r="30" spans="1:11" ht="12.75" customHeight="1" x14ac:dyDescent="0.2">
      <c r="A30" s="57" t="s">
        <v>23</v>
      </c>
      <c r="B30" s="57"/>
      <c r="C30" s="57"/>
      <c r="D30" s="57"/>
      <c r="E30" s="57"/>
      <c r="F30" s="57"/>
      <c r="G30" s="57"/>
      <c r="H30" s="57"/>
      <c r="I30" s="57"/>
    </row>
    <row r="31" spans="1:11" ht="12.75" customHeight="1" x14ac:dyDescent="0.2">
      <c r="A31" s="57" t="s">
        <v>24</v>
      </c>
      <c r="B31" s="57"/>
      <c r="C31" s="57"/>
      <c r="D31" s="57"/>
      <c r="E31" s="57"/>
      <c r="F31" s="57"/>
      <c r="G31" s="57"/>
      <c r="H31" s="57"/>
      <c r="I31" s="57"/>
    </row>
    <row r="32" spans="1:11" ht="24.75" customHeight="1" x14ac:dyDescent="0.2">
      <c r="A32" s="58" t="s">
        <v>25</v>
      </c>
      <c r="B32" s="58"/>
      <c r="C32" s="58"/>
      <c r="D32" s="58"/>
      <c r="E32" s="58"/>
      <c r="F32" s="58"/>
      <c r="G32" s="58"/>
      <c r="H32" s="58"/>
      <c r="I32" s="58"/>
    </row>
  </sheetData>
  <sheetProtection password="E73F" sheet="1" objects="1" scenarios="1"/>
  <mergeCells count="17">
    <mergeCell ref="A28:I28"/>
    <mergeCell ref="A29:I29"/>
    <mergeCell ref="A30:I30"/>
    <mergeCell ref="A31:I31"/>
    <mergeCell ref="A32:I32"/>
    <mergeCell ref="G19:H19"/>
    <mergeCell ref="D22:E22"/>
    <mergeCell ref="D23:E23"/>
    <mergeCell ref="A26:I26"/>
    <mergeCell ref="A27:I27"/>
    <mergeCell ref="A1:I1"/>
    <mergeCell ref="A2:A17"/>
    <mergeCell ref="B3:B17"/>
    <mergeCell ref="C3:C17"/>
    <mergeCell ref="D3:D17"/>
    <mergeCell ref="E3:E17"/>
    <mergeCell ref="F3:F17"/>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1113</TotalTime>
  <Application>Microsoft Excel</Application>
  <DocSecurity>0</DocSecurity>
  <ScaleCrop>false</ScaleCrop>
  <HeadingPairs>
    <vt:vector size="4" baseType="variant">
      <vt:variant>
        <vt:lpstr>Planilhas</vt:lpstr>
      </vt:variant>
      <vt:variant>
        <vt:i4>49</vt:i4>
      </vt:variant>
      <vt:variant>
        <vt:lpstr>Intervalos nomeados</vt:lpstr>
      </vt:variant>
      <vt:variant>
        <vt:i4>3</vt:i4>
      </vt:variant>
    </vt:vector>
  </HeadingPairs>
  <TitlesOfParts>
    <vt:vector size="52"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Item25</vt:lpstr>
      <vt:lpstr>Item26</vt:lpstr>
      <vt:lpstr>Item27</vt:lpstr>
      <vt:lpstr>Item28</vt:lpstr>
      <vt:lpstr>Item29</vt:lpstr>
      <vt:lpstr>Item30</vt:lpstr>
      <vt:lpstr>Item31</vt:lpstr>
      <vt:lpstr>Item32</vt:lpstr>
      <vt:lpstr>Item33</vt:lpstr>
      <vt:lpstr>Item34</vt:lpstr>
      <vt:lpstr>Item35</vt:lpstr>
      <vt:lpstr>Item36</vt:lpstr>
      <vt:lpstr>Item37</vt:lpstr>
      <vt:lpstr>Item38</vt:lpstr>
      <vt:lpstr>Item39</vt:lpstr>
      <vt:lpstr>Item40</vt:lpstr>
      <vt:lpstr>Item41</vt:lpstr>
      <vt:lpstr>Item42</vt:lpstr>
      <vt:lpstr>Item43</vt:lpstr>
      <vt:lpstr>Item44</vt:lpstr>
      <vt:lpstr>Item45</vt:lpstr>
      <vt:lpstr>Item46</vt:lpstr>
      <vt:lpstr>Item47</vt:lpstr>
      <vt:lpstr>Item48</vt:lpstr>
      <vt:lpstr>Item49</vt:lpstr>
      <vt:lpstr>Item50</vt:lpstr>
      <vt:lpstr>Item22</vt:lpstr>
      <vt:lpstr>TOTAL</vt:lpstr>
      <vt:lpstr>TOTAL!Area_de_impressao</vt:lpstr>
      <vt:lpstr>TOTAL!Print_Area_0</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revision>65</cp:revision>
  <cp:lastPrinted>2021-07-29T22:04:16Z</cp:lastPrinted>
  <dcterms:created xsi:type="dcterms:W3CDTF">2019-01-16T20:04:04Z</dcterms:created>
  <dcterms:modified xsi:type="dcterms:W3CDTF">2021-08-19T15:52:04Z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